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ntraversa\Desktop\Gara pulizie 2024\PUBBLICAZIONE\"/>
    </mc:Choice>
  </mc:AlternateContent>
  <xr:revisionPtr revIDLastSave="0" documentId="8_{F317ED8E-659C-482A-82DA-0ED723777CF5}" xr6:coauthVersionLast="47" xr6:coauthVersionMax="47" xr10:uidLastSave="{00000000-0000-0000-0000-000000000000}"/>
  <workbookProtection workbookAlgorithmName="SHA-512" workbookHashValue="tHnE47ChZvcdU1Lz9co9HthmPRcnv3zw65N/G8UKShRGrIaADIpUzhlN07efbhyb46/JH8uAiZfwmsleOKqEOA==" workbookSaltValue="/jcpQpB8OhRpxYaeR+2dJQ==" workbookSpinCount="100000" lockStructure="1"/>
  <bookViews>
    <workbookView xWindow="-120" yWindow="-120" windowWidth="29040" windowHeight="15840" xr2:uid="{B7E4A3B3-1627-428D-8401-F6C1208984DE}"/>
  </bookViews>
  <sheets>
    <sheet name="Riepilogo Importi" sheetId="2" r:id="rId1"/>
    <sheet name="Centri di Costo" sheetId="3" r:id="rId2"/>
    <sheet name="Elenco per Centri di Costo" sheetId="4" r:id="rId3"/>
    <sheet name="Impianti Fissi" sheetId="11" r:id="rId4"/>
    <sheet name="Uffici Direzionali" sheetId="5" r:id="rId5"/>
    <sheet name="Servizio Ferroviario" sheetId="6" r:id="rId6"/>
    <sheet name="Servizio automobilistico" sheetId="10" r:id="rId7"/>
    <sheet name="Stazioni Varie" sheetId="7" r:id="rId8"/>
    <sheet name="Apertura e Chiusura Stazioni" sheetId="8" r:id="rId9"/>
  </sheets>
  <definedNames>
    <definedName name="_xlnm._FilterDatabase" localSheetId="2" hidden="1">'Elenco per Centri di Costo'!$A$1:$E$121</definedName>
    <definedName name="_xlnm._FilterDatabase" localSheetId="0" hidden="1">'Riepilogo Importi'!$A$3:$B$14</definedName>
    <definedName name="_xlnm._FilterDatabase" localSheetId="7" hidden="1">'Stazioni Varie'!$B$5:$J$30</definedName>
    <definedName name="_xlnm.Print_Area" localSheetId="8">'Apertura e Chiusura Stazioni'!$B$1:$D$13</definedName>
    <definedName name="_xlnm.Print_Area" localSheetId="2">'Elenco per Centri di Costo'!$A$1:$F$121</definedName>
    <definedName name="_xlnm.Print_Area" localSheetId="0">'Riepilogo Importi'!$A$1:$C$15</definedName>
    <definedName name="_xlnm.Print_Area" localSheetId="6">'Servizio automobilistico'!$A$1:$T$18</definedName>
    <definedName name="_xlnm.Print_Area" localSheetId="5">'Servizio Ferroviario'!$A$1:$T$30</definedName>
    <definedName name="_xlnm.Print_Area" localSheetId="7">'Stazioni Varie'!$B$1:$J$30</definedName>
    <definedName name="_xlnm.Print_Area" localSheetId="4">'Uffici Direzionali'!$A$1:$E$6</definedName>
    <definedName name="_xlnm.Print_Titles" localSheetId="2">'Elenco per Centri di Costo'!$1:$1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4" l="1"/>
  <c r="E95" i="4" l="1"/>
  <c r="C95" i="4"/>
  <c r="E80" i="4"/>
  <c r="E79" i="4"/>
  <c r="E11" i="4"/>
  <c r="E30" i="4" l="1"/>
  <c r="E29" i="4"/>
  <c r="I15" i="11"/>
  <c r="J15" i="11" s="1"/>
  <c r="E31" i="4" s="1"/>
  <c r="F33" i="4" s="1"/>
  <c r="I11" i="11"/>
  <c r="J11" i="11" s="1"/>
  <c r="E17" i="4" s="1"/>
  <c r="C109" i="4"/>
  <c r="C4" i="5"/>
  <c r="I22" i="11"/>
  <c r="J22" i="11" s="1"/>
  <c r="E109" i="4" s="1"/>
  <c r="E93" i="4" l="1"/>
  <c r="J31" i="7"/>
  <c r="I31" i="7"/>
  <c r="E31" i="7"/>
  <c r="E32" i="7"/>
  <c r="H7" i="7" l="1"/>
  <c r="G2" i="2"/>
  <c r="C1" i="6" s="1"/>
  <c r="D7" i="8" l="1"/>
  <c r="D6" i="8"/>
  <c r="D5" i="8"/>
  <c r="D4" i="8"/>
  <c r="D8" i="8"/>
  <c r="D12" i="8"/>
  <c r="D11" i="8"/>
  <c r="D10" i="8"/>
  <c r="C1" i="10"/>
  <c r="D9" i="8"/>
  <c r="C5" i="5" l="1"/>
  <c r="E5" i="5" s="1"/>
  <c r="E4" i="5"/>
  <c r="E6" i="7"/>
  <c r="I6" i="7" s="1"/>
  <c r="J6" i="7" s="1"/>
  <c r="E12" i="11"/>
  <c r="I12" i="11" s="1"/>
  <c r="C108" i="4"/>
  <c r="C97" i="4"/>
  <c r="C98" i="4"/>
  <c r="C99" i="4"/>
  <c r="C100" i="4"/>
  <c r="C101" i="4"/>
  <c r="C102" i="4"/>
  <c r="C103" i="4"/>
  <c r="C104" i="4"/>
  <c r="C105" i="4"/>
  <c r="C106" i="4"/>
  <c r="C107" i="4"/>
  <c r="C96" i="4"/>
  <c r="C94" i="4"/>
  <c r="C82" i="4"/>
  <c r="C83" i="4"/>
  <c r="C84" i="4"/>
  <c r="C85" i="4"/>
  <c r="C86" i="4"/>
  <c r="C87" i="4"/>
  <c r="C88" i="4"/>
  <c r="C89" i="4"/>
  <c r="C90" i="4"/>
  <c r="C91" i="4"/>
  <c r="C92" i="4"/>
  <c r="C81" i="4"/>
  <c r="C77" i="4"/>
  <c r="E21" i="11"/>
  <c r="I21" i="11" s="1"/>
  <c r="E13" i="11"/>
  <c r="I13" i="11" s="1"/>
  <c r="J13" i="11" s="1"/>
  <c r="I20" i="11"/>
  <c r="J20" i="11" s="1"/>
  <c r="I19" i="11"/>
  <c r="J19" i="11" s="1"/>
  <c r="I18" i="11"/>
  <c r="I16" i="11"/>
  <c r="J16" i="11" s="1"/>
  <c r="I17" i="11"/>
  <c r="J17" i="11" s="1"/>
  <c r="I9" i="11"/>
  <c r="J9" i="11" s="1"/>
  <c r="I10" i="11"/>
  <c r="J10" i="11" s="1"/>
  <c r="H14" i="11"/>
  <c r="E14" i="11"/>
  <c r="I8" i="11"/>
  <c r="J8" i="11" s="1"/>
  <c r="I7" i="11"/>
  <c r="J7" i="11" s="1"/>
  <c r="I6" i="11"/>
  <c r="J6" i="11" s="1"/>
  <c r="E5" i="11"/>
  <c r="I5" i="11" s="1"/>
  <c r="J5" i="11" s="1"/>
  <c r="K24" i="6"/>
  <c r="F25" i="6"/>
  <c r="F23" i="6"/>
  <c r="Q15" i="10"/>
  <c r="R15" i="10" s="1"/>
  <c r="L15" i="10"/>
  <c r="M15" i="10" s="1"/>
  <c r="G15" i="10"/>
  <c r="H15" i="10" s="1"/>
  <c r="Q14" i="10"/>
  <c r="R14" i="10" s="1"/>
  <c r="L14" i="10"/>
  <c r="M14" i="10" s="1"/>
  <c r="G14" i="10"/>
  <c r="H14" i="10" s="1"/>
  <c r="Q13" i="10"/>
  <c r="R13" i="10" s="1"/>
  <c r="L13" i="10"/>
  <c r="M13" i="10" s="1"/>
  <c r="G13" i="10"/>
  <c r="H13" i="10" s="1"/>
  <c r="Q12" i="10"/>
  <c r="R12" i="10" s="1"/>
  <c r="L12" i="10"/>
  <c r="M12" i="10" s="1"/>
  <c r="G12" i="10"/>
  <c r="H12" i="10" s="1"/>
  <c r="Q11" i="10"/>
  <c r="R11" i="10" s="1"/>
  <c r="L11" i="10"/>
  <c r="M11" i="10" s="1"/>
  <c r="G11" i="10"/>
  <c r="H11" i="10" s="1"/>
  <c r="Q10" i="10"/>
  <c r="R10" i="10" s="1"/>
  <c r="L10" i="10"/>
  <c r="M10" i="10" s="1"/>
  <c r="G10" i="10"/>
  <c r="H10" i="10" s="1"/>
  <c r="Q9" i="10"/>
  <c r="R9" i="10" s="1"/>
  <c r="L9" i="10"/>
  <c r="M9" i="10" s="1"/>
  <c r="G9" i="10"/>
  <c r="H9" i="10" s="1"/>
  <c r="Q8" i="10"/>
  <c r="R8" i="10" s="1"/>
  <c r="L8" i="10"/>
  <c r="M8" i="10" s="1"/>
  <c r="G8" i="10"/>
  <c r="H8" i="10" s="1"/>
  <c r="Q7" i="10"/>
  <c r="R7" i="10" s="1"/>
  <c r="L7" i="10"/>
  <c r="M7" i="10" s="1"/>
  <c r="G7" i="10"/>
  <c r="H7" i="10" s="1"/>
  <c r="Q6" i="10"/>
  <c r="R6" i="10" s="1"/>
  <c r="L6" i="10"/>
  <c r="M6" i="10" s="1"/>
  <c r="G6" i="10"/>
  <c r="H6" i="10" s="1"/>
  <c r="Q5" i="10"/>
  <c r="R5" i="10" s="1"/>
  <c r="R16" i="10" s="1"/>
  <c r="L5" i="10"/>
  <c r="M5" i="10" s="1"/>
  <c r="G5" i="10"/>
  <c r="H5" i="10" s="1"/>
  <c r="I14" i="11" l="1"/>
  <c r="J14" i="11" s="1"/>
  <c r="K20" i="11"/>
  <c r="J21" i="11"/>
  <c r="J18" i="11"/>
  <c r="J12" i="11"/>
  <c r="E18" i="4" s="1"/>
  <c r="M16" i="10"/>
  <c r="E14" i="4"/>
  <c r="H16" i="10"/>
  <c r="E15" i="4"/>
  <c r="E24" i="4"/>
  <c r="N6" i="10"/>
  <c r="E22" i="4" s="1"/>
  <c r="I9" i="10"/>
  <c r="S11" i="10"/>
  <c r="S7" i="10"/>
  <c r="E9" i="4" s="1"/>
  <c r="N5" i="10"/>
  <c r="E21" i="4" s="1"/>
  <c r="S5" i="10"/>
  <c r="E4" i="4" s="1"/>
  <c r="N13" i="10"/>
  <c r="E25" i="4" s="1"/>
  <c r="N9" i="10"/>
  <c r="E32" i="4" s="1"/>
  <c r="N14" i="10"/>
  <c r="S9" i="10"/>
  <c r="S14" i="10"/>
  <c r="I12" i="10"/>
  <c r="I6" i="10"/>
  <c r="E13" i="4" s="1"/>
  <c r="S12" i="10"/>
  <c r="E10" i="4" s="1"/>
  <c r="N15" i="10"/>
  <c r="I8" i="10"/>
  <c r="E20" i="4" s="1"/>
  <c r="S10" i="10"/>
  <c r="S15" i="10"/>
  <c r="I13" i="10"/>
  <c r="I7" i="10"/>
  <c r="E19" i="4" s="1"/>
  <c r="S13" i="10"/>
  <c r="E8" i="4" s="1"/>
  <c r="N7" i="10"/>
  <c r="E26" i="4" s="1"/>
  <c r="N8" i="10"/>
  <c r="E27" i="4" s="1"/>
  <c r="I10" i="10"/>
  <c r="S8" i="10"/>
  <c r="N10" i="10"/>
  <c r="E33" i="4" s="1"/>
  <c r="N12" i="10"/>
  <c r="I14" i="10"/>
  <c r="I11" i="10"/>
  <c r="S6" i="10"/>
  <c r="E5" i="4" s="1"/>
  <c r="N11" i="10"/>
  <c r="E28" i="4" s="1"/>
  <c r="I15" i="10"/>
  <c r="I5" i="10"/>
  <c r="E12" i="4" s="1"/>
  <c r="K18" i="11" l="1"/>
  <c r="E57" i="4" s="1"/>
  <c r="E108" i="4"/>
  <c r="K22" i="11"/>
  <c r="K17" i="11"/>
  <c r="S16" i="10"/>
  <c r="T13" i="10"/>
  <c r="E16" i="4"/>
  <c r="K12" i="11"/>
  <c r="N16" i="10"/>
  <c r="E7" i="4"/>
  <c r="K8" i="11"/>
  <c r="E6" i="4" s="1"/>
  <c r="I16" i="10"/>
  <c r="T12" i="10"/>
  <c r="T7" i="10"/>
  <c r="T9" i="10"/>
  <c r="T14" i="10"/>
  <c r="T8" i="10"/>
  <c r="T6" i="10"/>
  <c r="T15" i="10"/>
  <c r="T11" i="10"/>
  <c r="T10" i="10"/>
  <c r="T5" i="10"/>
  <c r="T16" i="10" l="1"/>
  <c r="G25" i="6" l="1"/>
  <c r="G23" i="6"/>
  <c r="L24" i="6"/>
  <c r="E3" i="4"/>
  <c r="F3" i="4" s="1"/>
  <c r="I16" i="7" l="1"/>
  <c r="I33" i="7"/>
  <c r="I32" i="7"/>
  <c r="I30" i="7"/>
  <c r="I29" i="7"/>
  <c r="I28" i="7"/>
  <c r="E27" i="7"/>
  <c r="I27" i="7" s="1"/>
  <c r="E26" i="7"/>
  <c r="I26" i="7" s="1"/>
  <c r="I25" i="7"/>
  <c r="I24" i="7"/>
  <c r="E23" i="7"/>
  <c r="I23" i="7" s="1"/>
  <c r="H22" i="7"/>
  <c r="I22" i="7" s="1"/>
  <c r="H21" i="7"/>
  <c r="I21" i="7" s="1"/>
  <c r="I20" i="7"/>
  <c r="H19" i="7"/>
  <c r="E19" i="7"/>
  <c r="H18" i="7"/>
  <c r="I18" i="7" s="1"/>
  <c r="I17" i="7"/>
  <c r="I15" i="7"/>
  <c r="E14" i="7"/>
  <c r="I14" i="7" s="1"/>
  <c r="I13" i="7"/>
  <c r="I12" i="7"/>
  <c r="I11" i="7"/>
  <c r="I10" i="7"/>
  <c r="H9" i="7"/>
  <c r="I9" i="7" s="1"/>
  <c r="I8" i="7"/>
  <c r="I7" i="7"/>
  <c r="J11" i="7" l="1"/>
  <c r="E100" i="4" s="1"/>
  <c r="J27" i="7"/>
  <c r="E89" i="4" s="1"/>
  <c r="E90" i="4"/>
  <c r="J28" i="7"/>
  <c r="J21" i="7"/>
  <c r="E83" i="4" s="1"/>
  <c r="J12" i="7"/>
  <c r="E101" i="4" s="1"/>
  <c r="J29" i="7"/>
  <c r="E91" i="4" s="1"/>
  <c r="J22" i="7"/>
  <c r="E84" i="4" s="1"/>
  <c r="J30" i="7"/>
  <c r="E92" i="4" s="1"/>
  <c r="J23" i="7"/>
  <c r="E85" i="4" s="1"/>
  <c r="J26" i="7"/>
  <c r="E88" i="4" s="1"/>
  <c r="J20" i="7"/>
  <c r="E82" i="4" s="1"/>
  <c r="J13" i="7"/>
  <c r="E102" i="4" s="1"/>
  <c r="J7" i="7"/>
  <c r="E96" i="4" s="1"/>
  <c r="J8" i="7"/>
  <c r="E97" i="4" s="1"/>
  <c r="J17" i="7"/>
  <c r="E106" i="4" s="1"/>
  <c r="J24" i="7"/>
  <c r="E86" i="4" s="1"/>
  <c r="J10" i="7"/>
  <c r="E99" i="4" s="1"/>
  <c r="J14" i="7"/>
  <c r="E103" i="4" s="1"/>
  <c r="J15" i="7"/>
  <c r="E104" i="4" s="1"/>
  <c r="J9" i="7"/>
  <c r="E98" i="4" s="1"/>
  <c r="J18" i="7"/>
  <c r="E107" i="4" s="1"/>
  <c r="J25" i="7"/>
  <c r="E87" i="4" s="1"/>
  <c r="J16" i="7"/>
  <c r="E105" i="4" s="1"/>
  <c r="J32" i="7"/>
  <c r="E110" i="4" s="1"/>
  <c r="J33" i="7"/>
  <c r="I19" i="7"/>
  <c r="J19" i="7" s="1"/>
  <c r="I34" i="7"/>
  <c r="J34" i="7" l="1"/>
  <c r="E94" i="4"/>
  <c r="E81" i="4"/>
  <c r="K26" i="6"/>
  <c r="L26" i="6" s="1"/>
  <c r="M26" i="6" l="1"/>
  <c r="E54" i="4"/>
  <c r="F94" i="4"/>
  <c r="F24" i="6"/>
  <c r="G24" i="6" l="1"/>
  <c r="M24" i="6" l="1"/>
  <c r="E77" i="4"/>
  <c r="C13" i="8"/>
  <c r="D13" i="8" s="1"/>
  <c r="E119" i="4"/>
  <c r="E118" i="4"/>
  <c r="E117" i="4"/>
  <c r="E116" i="4"/>
  <c r="E115" i="4"/>
  <c r="E114" i="4"/>
  <c r="E113" i="4"/>
  <c r="E112" i="4"/>
  <c r="E111" i="4"/>
  <c r="K28" i="6"/>
  <c r="L28" i="6" s="1"/>
  <c r="F28" i="6"/>
  <c r="G28" i="6" s="1"/>
  <c r="E78" i="4" s="1"/>
  <c r="K27" i="6"/>
  <c r="L27" i="6" s="1"/>
  <c r="E55" i="4" s="1"/>
  <c r="F27" i="6"/>
  <c r="G27" i="6" s="1"/>
  <c r="E76" i="4" s="1"/>
  <c r="K25" i="6"/>
  <c r="L25" i="6" s="1"/>
  <c r="K23" i="6"/>
  <c r="L23" i="6" s="1"/>
  <c r="K22" i="6"/>
  <c r="L22" i="6" s="1"/>
  <c r="F22" i="6"/>
  <c r="G22" i="6" s="1"/>
  <c r="E75" i="4" s="1"/>
  <c r="K21" i="6"/>
  <c r="L21" i="6" s="1"/>
  <c r="F21" i="6"/>
  <c r="G21" i="6" s="1"/>
  <c r="E74" i="4" s="1"/>
  <c r="K20" i="6"/>
  <c r="L20" i="6" s="1"/>
  <c r="F20" i="6"/>
  <c r="K19" i="6"/>
  <c r="L19" i="6" s="1"/>
  <c r="F19" i="6"/>
  <c r="G19" i="6" s="1"/>
  <c r="E72" i="4" s="1"/>
  <c r="K18" i="6"/>
  <c r="L18" i="6" s="1"/>
  <c r="F18" i="6"/>
  <c r="G18" i="6" s="1"/>
  <c r="E71" i="4" s="1"/>
  <c r="K17" i="6"/>
  <c r="L17" i="6" s="1"/>
  <c r="F17" i="6"/>
  <c r="G17" i="6" s="1"/>
  <c r="E70" i="4" s="1"/>
  <c r="K16" i="6"/>
  <c r="L16" i="6" s="1"/>
  <c r="E45" i="4" s="1"/>
  <c r="F16" i="6"/>
  <c r="G16" i="6" s="1"/>
  <c r="E69" i="4" s="1"/>
  <c r="K15" i="6"/>
  <c r="L15" i="6" s="1"/>
  <c r="E44" i="4" s="1"/>
  <c r="F15" i="6"/>
  <c r="G15" i="6" s="1"/>
  <c r="E68" i="4" s="1"/>
  <c r="K14" i="6"/>
  <c r="L14" i="6" s="1"/>
  <c r="F14" i="6"/>
  <c r="G14" i="6" s="1"/>
  <c r="E67" i="4" s="1"/>
  <c r="K13" i="6"/>
  <c r="L13" i="6" s="1"/>
  <c r="F13" i="6"/>
  <c r="G13" i="6" s="1"/>
  <c r="E66" i="4" s="1"/>
  <c r="K12" i="6"/>
  <c r="L12" i="6" s="1"/>
  <c r="F12" i="6"/>
  <c r="G12" i="6" s="1"/>
  <c r="E65" i="4" s="1"/>
  <c r="K11" i="6"/>
  <c r="F11" i="6"/>
  <c r="G11" i="6" s="1"/>
  <c r="E64" i="4" s="1"/>
  <c r="K10" i="6"/>
  <c r="L10" i="6" s="1"/>
  <c r="F10" i="6"/>
  <c r="G10" i="6" s="1"/>
  <c r="E63" i="4" s="1"/>
  <c r="K9" i="6"/>
  <c r="L9" i="6" s="1"/>
  <c r="F9" i="6"/>
  <c r="G9" i="6" s="1"/>
  <c r="E62" i="4" s="1"/>
  <c r="K8" i="6"/>
  <c r="L8" i="6" s="1"/>
  <c r="E37" i="4" s="1"/>
  <c r="F8" i="6"/>
  <c r="G8" i="6" s="1"/>
  <c r="E61" i="4" s="1"/>
  <c r="K7" i="6"/>
  <c r="L7" i="6" s="1"/>
  <c r="F7" i="6"/>
  <c r="G7" i="6" s="1"/>
  <c r="E60" i="4" s="1"/>
  <c r="K6" i="6"/>
  <c r="L6" i="6" s="1"/>
  <c r="F6" i="6"/>
  <c r="K5" i="6"/>
  <c r="F5" i="6"/>
  <c r="G5" i="6" s="1"/>
  <c r="E58" i="4" s="1"/>
  <c r="E120" i="4"/>
  <c r="F120" i="4" s="1"/>
  <c r="C11" i="3" s="1"/>
  <c r="C78" i="4"/>
  <c r="C76" i="4"/>
  <c r="C75" i="4"/>
  <c r="C74" i="4"/>
  <c r="C73" i="4"/>
  <c r="C72" i="4"/>
  <c r="C71" i="4"/>
  <c r="C70" i="4"/>
  <c r="C69" i="4"/>
  <c r="C68" i="4"/>
  <c r="C67" i="4"/>
  <c r="C66" i="4"/>
  <c r="C65" i="4"/>
  <c r="C64" i="4"/>
  <c r="C63" i="4"/>
  <c r="C62" i="4"/>
  <c r="C61" i="4"/>
  <c r="C60" i="4"/>
  <c r="C59" i="4"/>
  <c r="C58" i="4"/>
  <c r="F119" i="4" l="1"/>
  <c r="C10" i="3" s="1"/>
  <c r="E2" i="4"/>
  <c r="E6" i="5"/>
  <c r="B12" i="2"/>
  <c r="C12" i="2" s="1"/>
  <c r="C3" i="3"/>
  <c r="B10" i="2" s="1"/>
  <c r="C10" i="2" s="1"/>
  <c r="L11" i="6"/>
  <c r="E40" i="4" s="1"/>
  <c r="K29" i="6"/>
  <c r="L29" i="6" s="1"/>
  <c r="G20" i="6"/>
  <c r="E73" i="4" s="1"/>
  <c r="F29" i="6"/>
  <c r="G29" i="6" s="1"/>
  <c r="G6" i="6"/>
  <c r="E59" i="4" s="1"/>
  <c r="M28" i="6"/>
  <c r="E56" i="4"/>
  <c r="M7" i="6"/>
  <c r="E36" i="4"/>
  <c r="M15" i="6"/>
  <c r="M16" i="6"/>
  <c r="E49" i="4"/>
  <c r="M17" i="6"/>
  <c r="E46" i="4"/>
  <c r="M8" i="6"/>
  <c r="E50" i="4"/>
  <c r="M21" i="6"/>
  <c r="C9" i="3"/>
  <c r="E35" i="4"/>
  <c r="M12" i="6"/>
  <c r="E41" i="4"/>
  <c r="M18" i="6"/>
  <c r="E47" i="4"/>
  <c r="M22" i="6"/>
  <c r="E51" i="4"/>
  <c r="C6" i="3"/>
  <c r="M10" i="6"/>
  <c r="E39" i="4"/>
  <c r="M14" i="6"/>
  <c r="E43" i="4"/>
  <c r="M9" i="6"/>
  <c r="E38" i="4"/>
  <c r="E52" i="4"/>
  <c r="M23" i="6"/>
  <c r="M27" i="6"/>
  <c r="E42" i="4"/>
  <c r="M13" i="6"/>
  <c r="E48" i="4"/>
  <c r="M19" i="6"/>
  <c r="M25" i="6"/>
  <c r="E53" i="4"/>
  <c r="L5" i="6"/>
  <c r="B11" i="2" l="1"/>
  <c r="C11" i="2" s="1"/>
  <c r="B7" i="2"/>
  <c r="C7" i="2" s="1"/>
  <c r="F2" i="4"/>
  <c r="C2" i="3" s="1"/>
  <c r="B9" i="2" s="1"/>
  <c r="C9" i="2" s="1"/>
  <c r="M11" i="6"/>
  <c r="F80" i="4"/>
  <c r="C8" i="3" s="1"/>
  <c r="B8" i="2" s="1"/>
  <c r="C8" i="2" s="1"/>
  <c r="M20" i="6"/>
  <c r="M6" i="6"/>
  <c r="M29" i="6"/>
  <c r="F20" i="4"/>
  <c r="C5" i="3" s="1"/>
  <c r="B6" i="2" s="1"/>
  <c r="E34" i="4"/>
  <c r="M5" i="6"/>
  <c r="F57" i="4" l="1"/>
  <c r="C7" i="3" s="1"/>
  <c r="B5" i="2" s="1"/>
  <c r="C5" i="2" s="1"/>
  <c r="F11" i="4"/>
  <c r="E121" i="4"/>
  <c r="B4" i="2" l="1"/>
  <c r="C6" i="2"/>
  <c r="C4" i="3"/>
  <c r="C12" i="3" s="1"/>
  <c r="F121" i="4"/>
  <c r="C4" i="2" l="1"/>
  <c r="C15" i="2" s="1"/>
  <c r="B18" i="2" s="1"/>
  <c r="B14" i="2"/>
  <c r="B19" i="2" l="1"/>
</calcChain>
</file>

<file path=xl/sharedStrings.xml><?xml version="1.0" encoding="utf-8"?>
<sst xmlns="http://schemas.openxmlformats.org/spreadsheetml/2006/main" count="793" uniqueCount="237">
  <si>
    <t>Riepilogo</t>
  </si>
  <si>
    <t>Settori</t>
  </si>
  <si>
    <t>Importo Annuo</t>
  </si>
  <si>
    <t>Ore richieste per servizio</t>
  </si>
  <si>
    <t>Automobilistico Bari</t>
  </si>
  <si>
    <t>Ferroviario Bari</t>
  </si>
  <si>
    <t>Automobilistico Matera</t>
  </si>
  <si>
    <t>Automobilistico Potenza</t>
  </si>
  <si>
    <t>Ferroviario Potenza</t>
  </si>
  <si>
    <t>Uffici Direzionali Bari - Sede di Bari Centrale</t>
  </si>
  <si>
    <t>Uffici Direzionali Potenza - Sede di Potenza</t>
  </si>
  <si>
    <t>Stazioni Varie</t>
  </si>
  <si>
    <t>Apertura / Chiusura Stazioni Periferiche</t>
  </si>
  <si>
    <t>Oneri Sicurezza non soggetti a ribasso</t>
  </si>
  <si>
    <t xml:space="preserve">T O T A L E         A N N U O </t>
  </si>
  <si>
    <t>Nr. Ore annue richieste dal servizio</t>
  </si>
  <si>
    <t>Costo Manodopera stimato Triennale</t>
  </si>
  <si>
    <t>Base d'asta</t>
  </si>
  <si>
    <t>Costo orario manodopera</t>
  </si>
  <si>
    <t>Costo orario base d'asta</t>
  </si>
  <si>
    <t>CC</t>
  </si>
  <si>
    <t>Impianto</t>
  </si>
  <si>
    <t>Somma di Importo Annuo</t>
  </si>
  <si>
    <t>a</t>
  </si>
  <si>
    <t>“Pulizia e sanificazione Uffici Direzionali Bari</t>
  </si>
  <si>
    <t>b</t>
  </si>
  <si>
    <t>“Pulizia e sanificazione Uffici Direzionali Potenza</t>
  </si>
  <si>
    <t>c</t>
  </si>
  <si>
    <t>“Pulizia e sanificazione uffici, ambienti e mezzi automobilistici, pulizia settore automobilistico Bari”</t>
  </si>
  <si>
    <t>d</t>
  </si>
  <si>
    <t>“Pulizia e sanificazione uffici, ambienti e mezzi automobilistici, pulizia settore automobilistico Matera”</t>
  </si>
  <si>
    <t>e</t>
  </si>
  <si>
    <t>“Pulizia e sanificazione uffici, ambienti e mezzi automobilistici, pulizia settore automobilistico Potenza”</t>
  </si>
  <si>
    <t>f</t>
  </si>
  <si>
    <t>“Pulizia e sanificazione uffici, ambienti e mezzi rotabili, pulizia settore ferroviario Bari”</t>
  </si>
  <si>
    <t>g</t>
  </si>
  <si>
    <t>“Pulizia e sanificazione uffici, ambienti e mezzi rotabili, pulizia settore ferroviario Potenza”</t>
  </si>
  <si>
    <t>h</t>
  </si>
  <si>
    <t>“Pulizia e sanificazione stazioni Potenza e provincia”</t>
  </si>
  <si>
    <t>i</t>
  </si>
  <si>
    <t>“Pulizia e sanificazione stazioni Bari e provincia”</t>
  </si>
  <si>
    <t>j</t>
  </si>
  <si>
    <t>Oneri per la Sicurezza</t>
  </si>
  <si>
    <t>Totale</t>
  </si>
  <si>
    <t>Centro di Costo</t>
  </si>
  <si>
    <t>Servizio</t>
  </si>
  <si>
    <t>Tipologia di Fatturazione</t>
  </si>
  <si>
    <t>Totale per centro di costo</t>
  </si>
  <si>
    <t>a canone</t>
  </si>
  <si>
    <t>Pulizia Ordinaria Mezzi</t>
  </si>
  <si>
    <t>a misura</t>
  </si>
  <si>
    <t>Pulizia Sommaria Mezzi</t>
  </si>
  <si>
    <t>Pulizia Fondazione</t>
  </si>
  <si>
    <t>Rifornimenti AB</t>
  </si>
  <si>
    <t>Pulizia Radicale con Sanitizzazione</t>
  </si>
  <si>
    <t>Pulizia Ordinaria Mezzi  Castelluccio</t>
  </si>
  <si>
    <t>Pulizia Sommaria Mezzo Castelluccio</t>
  </si>
  <si>
    <t xml:space="preserve">Pulizia Pezzi sciolti </t>
  </si>
  <si>
    <t xml:space="preserve">Rifornimento Rotabili </t>
  </si>
  <si>
    <t>TOTALE</t>
  </si>
  <si>
    <t>S E R V I Z I O    D I    P U L I Z  I A     U F F I C I   D I R E Z I O N A L I</t>
  </si>
  <si>
    <t>Sede</t>
  </si>
  <si>
    <t xml:space="preserve">Servizio </t>
  </si>
  <si>
    <t>Ore servizio</t>
  </si>
  <si>
    <t>Periodicità</t>
  </si>
  <si>
    <t>Uffici Direzionali Bari</t>
  </si>
  <si>
    <t>Pulizia uffici</t>
  </si>
  <si>
    <t>giornaliera</t>
  </si>
  <si>
    <t>Uffici Direzionali Potenza</t>
  </si>
  <si>
    <t>Pulizia Uffici</t>
  </si>
  <si>
    <t>offerta oraria</t>
  </si>
  <si>
    <t>Tabella Generale Annua</t>
  </si>
  <si>
    <t>Settore Automobilistico</t>
  </si>
  <si>
    <t>Frequenza</t>
  </si>
  <si>
    <t>Frequenza Intervento</t>
  </si>
  <si>
    <t>MATERA</t>
  </si>
  <si>
    <t>POTENZA</t>
  </si>
  <si>
    <t>BARI</t>
  </si>
  <si>
    <t>TOTALI</t>
  </si>
  <si>
    <t>Numero Mezzi</t>
  </si>
  <si>
    <t>Tempo 
Unitario</t>
  </si>
  <si>
    <t xml:space="preserve">Frequenza 
Visita </t>
  </si>
  <si>
    <t>tempo</t>
  </si>
  <si>
    <t>Costo 
Totale</t>
  </si>
  <si>
    <t xml:space="preserve">Costo 
Totale </t>
  </si>
  <si>
    <t>10 gg</t>
  </si>
  <si>
    <t>al rientro</t>
  </si>
  <si>
    <t>Pulizia Officina - impianti fissi</t>
  </si>
  <si>
    <t>giornaliero</t>
  </si>
  <si>
    <t>settimanale</t>
  </si>
  <si>
    <t>semestrale</t>
  </si>
  <si>
    <t>Pulizia Ridotta (a richiesta)</t>
  </si>
  <si>
    <t>Pulizia Straordinaria (a richiesta)</t>
  </si>
  <si>
    <t>subtotali</t>
  </si>
  <si>
    <t>Settore Ferroviario</t>
  </si>
  <si>
    <t>Totali</t>
  </si>
  <si>
    <t>Tempo Potenza
Unitario [h]</t>
  </si>
  <si>
    <t xml:space="preserve">Tempo Bari
Unitario </t>
  </si>
  <si>
    <t>Pulizia Rotabili RADICALE con Sanitizzazioni (D)</t>
  </si>
  <si>
    <t>AT 300</t>
  </si>
  <si>
    <t>SB (Bi-cassa)</t>
  </si>
  <si>
    <t>ST/SBT (Tri-cassa)</t>
  </si>
  <si>
    <t>Pulizia Rotabili
 NORMALE (C)</t>
  </si>
  <si>
    <t>Pulizia Rotabili 
SOMMARIA (B)</t>
  </si>
  <si>
    <t>Lavaggio Cassa</t>
  </si>
  <si>
    <t>Lavaggio Pavimenti</t>
  </si>
  <si>
    <t>Pulizia Volante Rapida (A.1)</t>
  </si>
  <si>
    <t>Pulizia Rotabili SOMMARIA Gravina</t>
  </si>
  <si>
    <t>SB/SBT/ST</t>
  </si>
  <si>
    <t>Pulizia Rotabili SOMMARIA Genzano</t>
  </si>
  <si>
    <t>AT300</t>
  </si>
  <si>
    <t>Pulizia Rotabili SOMMARIA Matera</t>
  </si>
  <si>
    <t>Volante rapida Matera</t>
  </si>
  <si>
    <t>Pulizia Pezzi sciolti</t>
  </si>
  <si>
    <t>Rifornimento Rotabili</t>
  </si>
  <si>
    <t>Stazione di Bari Policlinico</t>
  </si>
  <si>
    <t xml:space="preserve">S E R V I Z I O    D I    P U L I Z  I A   S T A Z I O N I   F E R R O V I A R I E </t>
  </si>
  <si>
    <t>Valori Annui Riepilogativi</t>
  </si>
  <si>
    <t>Struttura</t>
  </si>
  <si>
    <t>Mq. Struttura</t>
  </si>
  <si>
    <t>Ore annue Servizio</t>
  </si>
  <si>
    <t>Piazzale (ettari)</t>
  </si>
  <si>
    <t>Ore Totali servizio</t>
  </si>
  <si>
    <t>Importo Servizio</t>
  </si>
  <si>
    <t>Stazione di Altamura</t>
  </si>
  <si>
    <t>Settimanale</t>
  </si>
  <si>
    <t>Stazione di Binetto</t>
  </si>
  <si>
    <t>Stazione di Gravina</t>
  </si>
  <si>
    <t>Dormitorio di Gravina</t>
  </si>
  <si>
    <t>bisettimanale</t>
  </si>
  <si>
    <t>Stazione di Grumo Appula</t>
  </si>
  <si>
    <t>Alloggi Autisti  Grumo Appula</t>
  </si>
  <si>
    <t>Stazione di Matera Centrale</t>
  </si>
  <si>
    <t>Giornaliero</t>
  </si>
  <si>
    <t>Stazione di Matera - Servizio di Presidio</t>
  </si>
  <si>
    <t>Stazione di Matera Sud</t>
  </si>
  <si>
    <t>Stazione di Matera Villa Longo</t>
  </si>
  <si>
    <t>Stazione di Modugno</t>
  </si>
  <si>
    <t>Stazione Bari Policlinico</t>
  </si>
  <si>
    <t>Stazione di Palo</t>
  </si>
  <si>
    <t>Stazione di Toritto</t>
  </si>
  <si>
    <t>Stazione di Avigliano Città</t>
  </si>
  <si>
    <t>Stazione di Avigliano Lucania</t>
  </si>
  <si>
    <t>quindicinale</t>
  </si>
  <si>
    <t>Stazione di Genzano</t>
  </si>
  <si>
    <t>Stazione di Potenza Città</t>
  </si>
  <si>
    <t>Fermata di Potenza Inferiore</t>
  </si>
  <si>
    <t>Stazione di Potenza Scalo</t>
  </si>
  <si>
    <t>Stazione di Potenza S. Maria</t>
  </si>
  <si>
    <t>Fermata di Potenza S. Rocco</t>
  </si>
  <si>
    <t>Stazione di Potenza Moccaro</t>
  </si>
  <si>
    <t>a chiamata</t>
  </si>
  <si>
    <t>San Nicola</t>
  </si>
  <si>
    <t>Pietragalla</t>
  </si>
  <si>
    <t>Acerenza</t>
  </si>
  <si>
    <t>mensile</t>
  </si>
  <si>
    <t>trisettimanale</t>
  </si>
  <si>
    <t>Terminal di Gallitello Potenza</t>
  </si>
  <si>
    <t xml:space="preserve">S E R V I Z I O    D I    APERTURA E CHIUSURA   S T A Z I O N I   F E R R O V I A R I E </t>
  </si>
  <si>
    <t>Stazione</t>
  </si>
  <si>
    <t>Apertura e Chiusura</t>
  </si>
  <si>
    <t>Stazione di Grumo</t>
  </si>
  <si>
    <t>Stazione di Mellitto</t>
  </si>
  <si>
    <t>Stazione di Palo del Colle</t>
  </si>
  <si>
    <t>Pulizia Sommaria Mezzi Gravina</t>
  </si>
  <si>
    <t>Pulizia ordinaria Autovetture</t>
  </si>
  <si>
    <t>a richiesta</t>
  </si>
  <si>
    <t>Rifornimenti AB Castelluccio</t>
  </si>
  <si>
    <t>“Pulizia e sanificazione uffici, ambienti e mezzi automobilistici, pulizia settore automobilistico Bari” - c</t>
  </si>
  <si>
    <t xml:space="preserve">Deposito Castelluccio </t>
  </si>
  <si>
    <t>Deposito Lagonegro</t>
  </si>
  <si>
    <t>Officina Automobilistica e impianti fissi</t>
  </si>
  <si>
    <t>Pulizia fondazione Officina Bari</t>
  </si>
  <si>
    <t>-</t>
  </si>
  <si>
    <t>Pulizia fondazione Officina Matera</t>
  </si>
  <si>
    <t>Pulizia fondazione officina Potenza</t>
  </si>
  <si>
    <t>Deposito Pisticci</t>
  </si>
  <si>
    <t>“Pulizia e sanificazione uffici, ambienti e mezzi automobilistici, pulizia settore automobilistico Matera” - d</t>
  </si>
  <si>
    <t>“Pulizia e sanificazione uffici, ambienti e mezzi automobilistici, pulizia settore automobilistico Potenza” - e</t>
  </si>
  <si>
    <t>“Pulizia e sanificazione uffici, ambienti e mezzi rotabili, pulizia settore ferroviario Bari” - f</t>
  </si>
  <si>
    <t>Officine e impianti fissi</t>
  </si>
  <si>
    <t>Rimessa AT Genzano</t>
  </si>
  <si>
    <t>“Pulizia e sanificazione uffici, ambienti e mezzi rotabili, pulizia settore ferroviario Potenza” - g</t>
  </si>
  <si>
    <t>“Pulizia e sanificazione stazioni Bari e provincia” - i</t>
  </si>
  <si>
    <t>Spogliatoi personale EML e EMI - Matera Serra Rifusa</t>
  </si>
  <si>
    <t>Totale CdC</t>
  </si>
  <si>
    <t>Pulizia Ordinaria Autovetture</t>
  </si>
  <si>
    <t>Pulizia deposito Pisticci</t>
  </si>
  <si>
    <t>Pulizia Ordinaria Mezzi Castelluccio</t>
  </si>
  <si>
    <t>Pulizia Sommaria mezzi Gravina</t>
  </si>
  <si>
    <t>Pulizia Rotabili RADICALE con Sanitizzazioni Stadler ST-SBT</t>
  </si>
  <si>
    <t>Pulizia Rotabili RADICALE con Sanitizzazioni udt SB</t>
  </si>
  <si>
    <t>Pulizia Rotabili NORMALE udt SB</t>
  </si>
  <si>
    <t>Pulizia Rotabili NORMALE Stadler ST-SBT</t>
  </si>
  <si>
    <t>Pulizia Rotabili  SOMMARIA udt SB</t>
  </si>
  <si>
    <t>Pulizia Rotabili  SOMMARIA Stadler ST-SBT</t>
  </si>
  <si>
    <t>Lavaggio Cassa udt SB</t>
  </si>
  <si>
    <t>Lavaggio Cassa Stadler ST-SBT</t>
  </si>
  <si>
    <t>Apertura e Chiusura Stazione di Bari Policlinico</t>
  </si>
  <si>
    <t>Apertura e Chiusura Stazione di Binetto</t>
  </si>
  <si>
    <t>Apertura e Chiusura Stazione di Grumo</t>
  </si>
  <si>
    <t>Apertura e Chiusura Stazione di Matera Centrale</t>
  </si>
  <si>
    <t>Apertura e Chiusura Stazione di Matera Villa Longo</t>
  </si>
  <si>
    <t>Apertura e Chiusura Stazione di Mellitto</t>
  </si>
  <si>
    <t>Apertura e Chiusura Stazione di Modugno</t>
  </si>
  <si>
    <t>Apertura e Chiusura Stazione di Palo del Colle</t>
  </si>
  <si>
    <t>Apertura e Chiusura Stazione di Toritto</t>
  </si>
  <si>
    <t>Pulizia Rotabili RADICALE con Sanitizzazioni AT 300</t>
  </si>
  <si>
    <t>Pulizia Rotabili NORMALE AT 300</t>
  </si>
  <si>
    <t>Pulizia Rotabili  SOMMARIA AT 300</t>
  </si>
  <si>
    <t>Lavaggio Cassa AT 300</t>
  </si>
  <si>
    <t>Lavaggio Pavimenti AT 300</t>
  </si>
  <si>
    <t>Pulizia Volante Rapida AT 300</t>
  </si>
  <si>
    <t>Lavaggio Pavimenti udt SB</t>
  </si>
  <si>
    <t>Pulizia Volante Rapida udt SB</t>
  </si>
  <si>
    <t>Lavaggio Pavimenti Stadler ST-SB</t>
  </si>
  <si>
    <t>Pulizia Volante Rapida Stadler ST-SB</t>
  </si>
  <si>
    <t>N.B. Elenco completo degli impianti fissi nel Capitolato Tecnico</t>
  </si>
  <si>
    <t>Stazione di Bari Centrale - pulizia e presidio</t>
  </si>
  <si>
    <t>Centro di costo</t>
  </si>
  <si>
    <t xml:space="preserve">N.B. nelle due voci sono comprese le attività di "controllo depuratori" così come descritte nel Capitolato Tecnico - Parte I </t>
  </si>
  <si>
    <t>Spogliatoi personale EML e EMI - Bari scalo</t>
  </si>
  <si>
    <t>Sale relè Puglia</t>
  </si>
  <si>
    <t>Sale relè Basilicata</t>
  </si>
  <si>
    <t>Deposito Montalbano Jonico</t>
  </si>
  <si>
    <t>Deposito Laurenzana</t>
  </si>
  <si>
    <t>Pulizia deposito Montalbano Jonico</t>
  </si>
  <si>
    <t>Pulizia deposito Laurenzana</t>
  </si>
  <si>
    <t>Pulizia deposito Lagonegro</t>
  </si>
  <si>
    <t>Pulizia deposito Castelluccio</t>
  </si>
  <si>
    <t>Pulizia sale relè Puglia</t>
  </si>
  <si>
    <t>Pulizia sale relè Basilicata</t>
  </si>
  <si>
    <t xml:space="preserve">Pulizia Officine e Impianti Fissi </t>
  </si>
  <si>
    <t>Pulizia Rimessa AT Genzano</t>
  </si>
  <si>
    <t xml:space="preserve">Pulizia Rotabili SOMMARIA Matera </t>
  </si>
  <si>
    <t xml:space="preserve">Pulizia Volante rapida Matera </t>
  </si>
  <si>
    <t>con 8800 ore rientriamo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</si>
</sst>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_-&quot;€&quot;* #,##0.00_-;\-&quot;€&quot;* #,##0.00_-;_-&quot;€&quot;* &quot;-&quot;??_-;_-@_-"/>
    <numFmt numFmtId="166" formatCode="_-[$€-410]\ * #,##0.00_-;\-[$€-410]\ * #,##0.00_-;_-[$€-410]\ * &quot;-&quot;??_-;_-@_-"/>
    <numFmt numFmtId="167" formatCode="_-* #,##0_-;\-* #,##0_-;_-* &quot;-&quot;??_-;_-@_-"/>
    <numFmt numFmtId="168" formatCode="_-* #,##0.000_-;\-* #,##0.000_-;_-* &quot;-&quot;??_-;_-@_-"/>
    <numFmt numFmtId="169" formatCode="0.000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2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3300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indexed="64"/>
      </right>
      <top style="hair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95">
    <xf numFmtId="0" fontId="0" fillId="0" borderId="0" xfId="0"/>
    <xf numFmtId="44" fontId="3" fillId="0" borderId="18" xfId="3" applyFont="1" applyFill="1" applyBorder="1" applyAlignment="1">
      <alignment horizontal="center" vertical="center" wrapText="1"/>
    </xf>
    <xf numFmtId="167" fontId="3" fillId="0" borderId="19" xfId="1" applyNumberFormat="1" applyFont="1" applyFill="1" applyBorder="1" applyAlignment="1">
      <alignment horizontal="center" vertical="center" wrapText="1"/>
    </xf>
    <xf numFmtId="44" fontId="3" fillId="0" borderId="20" xfId="3" applyFont="1" applyFill="1" applyBorder="1" applyAlignment="1">
      <alignment horizontal="center" vertical="center" wrapText="1"/>
    </xf>
    <xf numFmtId="44" fontId="3" fillId="0" borderId="43" xfId="3" applyFont="1" applyFill="1" applyBorder="1" applyAlignment="1">
      <alignment horizontal="center" vertical="center"/>
    </xf>
    <xf numFmtId="44" fontId="3" fillId="0" borderId="62" xfId="3" applyFont="1" applyFill="1" applyBorder="1" applyAlignment="1">
      <alignment horizontal="center" vertical="center"/>
    </xf>
    <xf numFmtId="44" fontId="3" fillId="0" borderId="56" xfId="3" applyFont="1" applyFill="1" applyBorder="1" applyAlignment="1">
      <alignment horizontal="center" vertical="center"/>
    </xf>
    <xf numFmtId="44" fontId="3" fillId="0" borderId="5" xfId="3" applyFont="1" applyFill="1" applyBorder="1" applyAlignment="1">
      <alignment horizontal="center" vertical="center"/>
    </xf>
    <xf numFmtId="43" fontId="13" fillId="0" borderId="25" xfId="1" applyFont="1" applyFill="1" applyBorder="1" applyAlignment="1">
      <alignment vertical="center"/>
    </xf>
    <xf numFmtId="43" fontId="13" fillId="0" borderId="2" xfId="1" applyFont="1" applyFill="1" applyBorder="1" applyAlignment="1">
      <alignment horizontal="center" vertical="center"/>
    </xf>
    <xf numFmtId="43" fontId="13" fillId="0" borderId="36" xfId="1" applyFont="1" applyFill="1" applyBorder="1" applyAlignment="1">
      <alignment vertical="center"/>
    </xf>
    <xf numFmtId="44" fontId="3" fillId="0" borderId="22" xfId="3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8" fontId="13" fillId="0" borderId="21" xfId="1" applyNumberFormat="1" applyFont="1" applyFill="1" applyBorder="1" applyAlignment="1">
      <alignment horizontal="center" vertical="center"/>
    </xf>
    <xf numFmtId="44" fontId="3" fillId="0" borderId="57" xfId="3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169" fontId="0" fillId="0" borderId="0" xfId="2" applyNumberFormat="1" applyFont="1" applyFill="1" applyAlignment="1">
      <alignment vertical="center"/>
    </xf>
    <xf numFmtId="44" fontId="3" fillId="0" borderId="24" xfId="3" applyFont="1" applyFill="1" applyBorder="1" applyAlignment="1">
      <alignment horizontal="center" vertical="center" wrapText="1"/>
    </xf>
    <xf numFmtId="167" fontId="3" fillId="0" borderId="25" xfId="1" applyNumberFormat="1" applyFont="1" applyFill="1" applyBorder="1" applyAlignment="1">
      <alignment horizontal="center" vertical="center" wrapText="1"/>
    </xf>
    <xf numFmtId="44" fontId="3" fillId="0" borderId="42" xfId="3" applyFont="1" applyFill="1" applyBorder="1" applyAlignment="1">
      <alignment horizontal="center" vertical="center" wrapText="1"/>
    </xf>
    <xf numFmtId="43" fontId="0" fillId="0" borderId="2" xfId="1" applyFont="1" applyFill="1" applyBorder="1" applyAlignment="1">
      <alignment horizontal="center" vertical="center"/>
    </xf>
    <xf numFmtId="44" fontId="0" fillId="0" borderId="34" xfId="3" applyFont="1" applyFill="1" applyBorder="1" applyAlignment="1">
      <alignment vertical="center"/>
    </xf>
    <xf numFmtId="168" fontId="0" fillId="0" borderId="2" xfId="1" applyNumberFormat="1" applyFont="1" applyFill="1" applyBorder="1" applyAlignment="1">
      <alignment horizontal="center" vertical="center"/>
    </xf>
    <xf numFmtId="44" fontId="3" fillId="0" borderId="44" xfId="3" applyFont="1" applyFill="1" applyBorder="1" applyAlignment="1">
      <alignment horizontal="center" vertical="center"/>
    </xf>
    <xf numFmtId="43" fontId="13" fillId="0" borderId="26" xfId="3" applyNumberFormat="1" applyFont="1" applyFill="1" applyBorder="1" applyAlignment="1">
      <alignment horizontal="center" vertical="center"/>
    </xf>
    <xf numFmtId="43" fontId="13" fillId="0" borderId="47" xfId="3" applyNumberFormat="1" applyFont="1" applyFill="1" applyBorder="1" applyAlignment="1">
      <alignment horizontal="center" vertical="center"/>
    </xf>
    <xf numFmtId="43" fontId="13" fillId="0" borderId="22" xfId="1" applyFont="1" applyFill="1" applyBorder="1" applyAlignment="1">
      <alignment horizontal="center" vertical="center"/>
    </xf>
    <xf numFmtId="44" fontId="13" fillId="0" borderId="23" xfId="3" applyFont="1" applyFill="1" applyBorder="1" applyAlignment="1">
      <alignment vertical="center"/>
    </xf>
    <xf numFmtId="168" fontId="13" fillId="0" borderId="18" xfId="1" applyNumberFormat="1" applyFont="1" applyFill="1" applyBorder="1" applyAlignment="1">
      <alignment horizontal="center" vertical="center"/>
    </xf>
    <xf numFmtId="43" fontId="13" fillId="0" borderId="19" xfId="1" applyFont="1" applyFill="1" applyBorder="1" applyAlignment="1">
      <alignment horizontal="center" vertical="center"/>
    </xf>
    <xf numFmtId="43" fontId="13" fillId="0" borderId="19" xfId="1" applyFont="1" applyFill="1" applyBorder="1" applyAlignment="1">
      <alignment vertical="center"/>
    </xf>
    <xf numFmtId="44" fontId="13" fillId="0" borderId="20" xfId="3" applyFont="1" applyFill="1" applyBorder="1" applyAlignment="1">
      <alignment vertical="center"/>
    </xf>
    <xf numFmtId="2" fontId="0" fillId="0" borderId="0" xfId="0" applyNumberFormat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2" fontId="3" fillId="0" borderId="22" xfId="0" applyNumberFormat="1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" fontId="0" fillId="0" borderId="19" xfId="0" applyNumberFormat="1" applyBorder="1" applyAlignment="1">
      <alignment horizontal="center" vertical="center"/>
    </xf>
    <xf numFmtId="3" fontId="0" fillId="0" borderId="19" xfId="0" applyNumberFormat="1" applyBorder="1" applyAlignment="1">
      <alignment horizontal="center" vertical="center"/>
    </xf>
    <xf numFmtId="0" fontId="0" fillId="0" borderId="31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/>
    </xf>
    <xf numFmtId="1" fontId="0" fillId="0" borderId="31" xfId="0" applyNumberForma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1" fontId="0" fillId="0" borderId="31" xfId="1" applyNumberFormat="1" applyFont="1" applyFill="1" applyBorder="1" applyAlignment="1">
      <alignment horizontal="center" vertical="center"/>
    </xf>
    <xf numFmtId="43" fontId="0" fillId="0" borderId="31" xfId="1" applyFont="1" applyFill="1" applyBorder="1" applyAlignment="1">
      <alignment horizontal="center" vertical="center"/>
    </xf>
    <xf numFmtId="168" fontId="0" fillId="0" borderId="31" xfId="1" applyNumberFormat="1" applyFont="1" applyFill="1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1" fontId="0" fillId="0" borderId="53" xfId="0" applyNumberFormat="1" applyBorder="1" applyAlignment="1">
      <alignment horizontal="center" vertical="center"/>
    </xf>
    <xf numFmtId="1" fontId="0" fillId="0" borderId="53" xfId="1" applyNumberFormat="1" applyFont="1" applyFill="1" applyBorder="1" applyAlignment="1">
      <alignment horizontal="center" vertical="center"/>
    </xf>
    <xf numFmtId="43" fontId="0" fillId="0" borderId="53" xfId="1" applyFont="1" applyFill="1" applyBorder="1" applyAlignment="1">
      <alignment horizontal="center" vertical="center"/>
    </xf>
    <xf numFmtId="168" fontId="0" fillId="0" borderId="53" xfId="1" applyNumberFormat="1" applyFont="1" applyFill="1" applyBorder="1" applyAlignment="1">
      <alignment horizontal="center" vertical="center"/>
    </xf>
    <xf numFmtId="3" fontId="0" fillId="0" borderId="22" xfId="0" applyNumberFormat="1" applyBorder="1" applyAlignment="1">
      <alignment horizontal="center" vertical="center"/>
    </xf>
    <xf numFmtId="44" fontId="1" fillId="0" borderId="19" xfId="3" applyFont="1" applyFill="1" applyBorder="1" applyAlignment="1">
      <alignment horizontal="center" vertical="center"/>
    </xf>
    <xf numFmtId="44" fontId="1" fillId="0" borderId="31" xfId="3" applyFont="1" applyFill="1" applyBorder="1" applyAlignment="1">
      <alignment horizontal="center" vertical="center"/>
    </xf>
    <xf numFmtId="44" fontId="1" fillId="0" borderId="53" xfId="3" applyFont="1" applyFill="1" applyBorder="1" applyAlignment="1">
      <alignment horizontal="center" vertical="center"/>
    </xf>
    <xf numFmtId="44" fontId="1" fillId="0" borderId="22" xfId="3" applyFont="1" applyFill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44" fontId="3" fillId="0" borderId="54" xfId="0" applyNumberFormat="1" applyFont="1" applyBorder="1" applyAlignment="1">
      <alignment horizontal="center" vertical="center"/>
    </xf>
    <xf numFmtId="44" fontId="3" fillId="0" borderId="23" xfId="0" applyNumberFormat="1" applyFont="1" applyBorder="1" applyAlignment="1">
      <alignment horizontal="center" vertical="center"/>
    </xf>
    <xf numFmtId="44" fontId="0" fillId="0" borderId="53" xfId="3" applyFont="1" applyFill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vertical="center"/>
    </xf>
    <xf numFmtId="0" fontId="0" fillId="0" borderId="26" xfId="0" applyBorder="1" applyAlignment="1">
      <alignment vertical="center"/>
    </xf>
    <xf numFmtId="3" fontId="0" fillId="0" borderId="2" xfId="0" applyNumberFormat="1" applyBorder="1" applyAlignment="1">
      <alignment vertical="center"/>
    </xf>
    <xf numFmtId="3" fontId="0" fillId="0" borderId="29" xfId="0" applyNumberFormat="1" applyBorder="1" applyAlignment="1">
      <alignment vertical="center"/>
    </xf>
    <xf numFmtId="166" fontId="0" fillId="0" borderId="34" xfId="0" applyNumberFormat="1" applyBorder="1" applyAlignment="1">
      <alignment vertical="center"/>
    </xf>
    <xf numFmtId="2" fontId="0" fillId="0" borderId="0" xfId="0" applyNumberFormat="1" applyAlignment="1">
      <alignment vertical="center"/>
    </xf>
    <xf numFmtId="0" fontId="0" fillId="0" borderId="28" xfId="0" applyBorder="1" applyAlignment="1">
      <alignment vertical="center"/>
    </xf>
    <xf numFmtId="0" fontId="0" fillId="0" borderId="3" xfId="0" applyBorder="1" applyAlignment="1">
      <alignment vertical="center"/>
    </xf>
    <xf numFmtId="3" fontId="0" fillId="0" borderId="3" xfId="0" applyNumberFormat="1" applyBorder="1" applyAlignment="1">
      <alignment vertical="center"/>
    </xf>
    <xf numFmtId="0" fontId="3" fillId="0" borderId="21" xfId="0" applyFont="1" applyBorder="1" applyAlignment="1">
      <alignment vertical="center"/>
    </xf>
    <xf numFmtId="0" fontId="0" fillId="0" borderId="67" xfId="0" applyBorder="1" applyAlignment="1">
      <alignment vertical="center"/>
    </xf>
    <xf numFmtId="0" fontId="0" fillId="0" borderId="39" xfId="0" applyBorder="1" applyAlignment="1">
      <alignment vertical="center"/>
    </xf>
    <xf numFmtId="3" fontId="3" fillId="0" borderId="22" xfId="0" applyNumberFormat="1" applyFont="1" applyBorder="1" applyAlignment="1">
      <alignment vertical="center"/>
    </xf>
    <xf numFmtId="166" fontId="3" fillId="0" borderId="23" xfId="0" applyNumberFormat="1" applyFont="1" applyBorder="1" applyAlignment="1">
      <alignment vertical="center"/>
    </xf>
    <xf numFmtId="166" fontId="0" fillId="0" borderId="0" xfId="0" applyNumberFormat="1" applyAlignment="1">
      <alignment vertical="center"/>
    </xf>
    <xf numFmtId="0" fontId="2" fillId="0" borderId="0" xfId="0" applyFont="1"/>
    <xf numFmtId="168" fontId="13" fillId="0" borderId="24" xfId="1" applyNumberFormat="1" applyFont="1" applyFill="1" applyBorder="1" applyAlignment="1">
      <alignment horizontal="center" vertical="center"/>
    </xf>
    <xf numFmtId="43" fontId="13" fillId="0" borderId="25" xfId="1" applyFont="1" applyFill="1" applyBorder="1" applyAlignment="1">
      <alignment horizontal="center" vertical="center"/>
    </xf>
    <xf numFmtId="44" fontId="13" fillId="0" borderId="42" xfId="3" applyFont="1" applyFill="1" applyBorder="1" applyAlignment="1">
      <alignment vertical="center"/>
    </xf>
    <xf numFmtId="168" fontId="13" fillId="0" borderId="26" xfId="1" applyNumberFormat="1" applyFont="1" applyFill="1" applyBorder="1" applyAlignment="1">
      <alignment horizontal="center" vertical="center"/>
    </xf>
    <xf numFmtId="43" fontId="13" fillId="0" borderId="34" xfId="1" applyFont="1" applyFill="1" applyBorder="1" applyAlignment="1">
      <alignment horizontal="center" vertical="center"/>
    </xf>
    <xf numFmtId="168" fontId="13" fillId="0" borderId="35" xfId="1" applyNumberFormat="1" applyFont="1" applyFill="1" applyBorder="1" applyAlignment="1">
      <alignment horizontal="center" vertical="center"/>
    </xf>
    <xf numFmtId="43" fontId="13" fillId="0" borderId="36" xfId="1" applyFont="1" applyFill="1" applyBorder="1" applyAlignment="1">
      <alignment horizontal="center" vertical="center"/>
    </xf>
    <xf numFmtId="44" fontId="13" fillId="0" borderId="37" xfId="3" applyFont="1" applyFill="1" applyBorder="1" applyAlignment="1">
      <alignment vertical="center"/>
    </xf>
    <xf numFmtId="43" fontId="13" fillId="0" borderId="42" xfId="1" applyFont="1" applyFill="1" applyBorder="1" applyAlignment="1">
      <alignment horizontal="center" vertical="center"/>
    </xf>
    <xf numFmtId="43" fontId="13" fillId="0" borderId="29" xfId="1" applyFont="1" applyFill="1" applyBorder="1" applyAlignment="1">
      <alignment horizontal="center" vertical="center"/>
    </xf>
    <xf numFmtId="168" fontId="0" fillId="0" borderId="24" xfId="1" applyNumberFormat="1" applyFont="1" applyFill="1" applyBorder="1" applyAlignment="1">
      <alignment horizontal="center" vertical="center"/>
    </xf>
    <xf numFmtId="44" fontId="13" fillId="0" borderId="34" xfId="3" applyFont="1" applyFill="1" applyBorder="1" applyAlignment="1">
      <alignment vertical="center"/>
    </xf>
    <xf numFmtId="168" fontId="13" fillId="0" borderId="26" xfId="1" applyNumberFormat="1" applyFont="1" applyFill="1" applyBorder="1" applyAlignment="1">
      <alignment vertical="center"/>
    </xf>
    <xf numFmtId="43" fontId="13" fillId="0" borderId="2" xfId="1" applyFont="1" applyFill="1" applyBorder="1" applyAlignment="1">
      <alignment vertical="center"/>
    </xf>
    <xf numFmtId="43" fontId="13" fillId="0" borderId="22" xfId="1" applyFont="1" applyFill="1" applyBorder="1" applyAlignment="1">
      <alignment vertical="center"/>
    </xf>
    <xf numFmtId="0" fontId="7" fillId="0" borderId="19" xfId="0" applyFont="1" applyBorder="1" applyAlignment="1">
      <alignment horizontal="center" vertical="center"/>
    </xf>
    <xf numFmtId="164" fontId="3" fillId="0" borderId="54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44" fontId="7" fillId="0" borderId="2" xfId="0" applyNumberFormat="1" applyFont="1" applyBorder="1" applyAlignment="1">
      <alignment vertical="center"/>
    </xf>
    <xf numFmtId="3" fontId="7" fillId="0" borderId="2" xfId="0" applyNumberFormat="1" applyFont="1" applyBorder="1" applyAlignment="1">
      <alignment horizontal="center" vertical="center"/>
    </xf>
    <xf numFmtId="44" fontId="7" fillId="0" borderId="3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0" fontId="6" fillId="0" borderId="4" xfId="0" applyFont="1" applyBorder="1" applyAlignment="1">
      <alignment horizontal="center" vertical="center"/>
    </xf>
    <xf numFmtId="44" fontId="6" fillId="0" borderId="5" xfId="0" applyNumberFormat="1" applyFont="1" applyBorder="1" applyAlignment="1">
      <alignment vertical="center"/>
    </xf>
    <xf numFmtId="164" fontId="7" fillId="0" borderId="0" xfId="4" applyFont="1" applyFill="1" applyAlignment="1">
      <alignment vertical="center"/>
    </xf>
    <xf numFmtId="4" fontId="6" fillId="0" borderId="5" xfId="0" applyNumberFormat="1" applyFont="1" applyBorder="1" applyAlignment="1">
      <alignment horizontal="center" vertical="center"/>
    </xf>
    <xf numFmtId="9" fontId="0" fillId="0" borderId="0" xfId="2" applyFont="1" applyFill="1" applyAlignment="1">
      <alignment vertical="center"/>
    </xf>
    <xf numFmtId="165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10" fontId="0" fillId="0" borderId="0" xfId="2" applyNumberFormat="1" applyFont="1" applyFill="1" applyAlignment="1">
      <alignment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vertical="center" wrapText="1"/>
    </xf>
    <xf numFmtId="44" fontId="0" fillId="0" borderId="25" xfId="3" applyFont="1" applyFill="1" applyBorder="1" applyAlignment="1">
      <alignment vertical="center"/>
    </xf>
    <xf numFmtId="44" fontId="3" fillId="0" borderId="54" xfId="0" applyNumberFormat="1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6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44" fontId="0" fillId="0" borderId="2" xfId="3" applyFont="1" applyFill="1" applyBorder="1" applyAlignment="1">
      <alignment vertical="center"/>
    </xf>
    <xf numFmtId="0" fontId="0" fillId="0" borderId="27" xfId="0" applyBorder="1" applyAlignment="1">
      <alignment vertical="center"/>
    </xf>
    <xf numFmtId="44" fontId="0" fillId="0" borderId="27" xfId="0" applyNumberFormat="1" applyBorder="1" applyAlignment="1">
      <alignment vertical="center"/>
    </xf>
    <xf numFmtId="44" fontId="0" fillId="0" borderId="54" xfId="0" applyNumberFormat="1" applyBorder="1" applyAlignment="1">
      <alignment vertical="center"/>
    </xf>
    <xf numFmtId="0" fontId="0" fillId="0" borderId="51" xfId="0" applyBorder="1" applyAlignment="1">
      <alignment horizontal="center" vertical="center"/>
    </xf>
    <xf numFmtId="0" fontId="0" fillId="0" borderId="53" xfId="0" applyBorder="1" applyAlignment="1">
      <alignment vertical="center" wrapText="1"/>
    </xf>
    <xf numFmtId="0" fontId="0" fillId="0" borderId="54" xfId="0" applyBorder="1" applyAlignment="1">
      <alignment vertical="center"/>
    </xf>
    <xf numFmtId="44" fontId="3" fillId="0" borderId="23" xfId="0" applyNumberFormat="1" applyFont="1" applyBorder="1" applyAlignment="1">
      <alignment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vertical="center" wrapText="1"/>
    </xf>
    <xf numFmtId="44" fontId="0" fillId="0" borderId="29" xfId="3" applyFont="1" applyFill="1" applyBorder="1" applyAlignment="1">
      <alignment vertical="center"/>
    </xf>
    <xf numFmtId="0" fontId="0" fillId="0" borderId="46" xfId="0" applyBorder="1" applyAlignment="1">
      <alignment vertical="center" wrapText="1"/>
    </xf>
    <xf numFmtId="0" fontId="0" fillId="0" borderId="47" xfId="0" applyBorder="1" applyAlignment="1">
      <alignment vertical="center" wrapText="1"/>
    </xf>
    <xf numFmtId="0" fontId="0" fillId="0" borderId="69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Border="1" applyAlignment="1">
      <alignment vertical="center" wrapText="1"/>
    </xf>
    <xf numFmtId="44" fontId="0" fillId="0" borderId="36" xfId="3" applyFont="1" applyFill="1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31" xfId="0" applyBorder="1" applyAlignment="1">
      <alignment vertical="center" wrapText="1"/>
    </xf>
    <xf numFmtId="44" fontId="0" fillId="0" borderId="27" xfId="3" applyFont="1" applyFill="1" applyBorder="1" applyAlignment="1">
      <alignment vertical="center"/>
    </xf>
    <xf numFmtId="44" fontId="3" fillId="0" borderId="32" xfId="0" applyNumberFormat="1" applyFont="1" applyBorder="1" applyAlignment="1">
      <alignment vertical="center"/>
    </xf>
    <xf numFmtId="0" fontId="0" fillId="0" borderId="21" xfId="0" applyBorder="1" applyAlignment="1">
      <alignment vertical="center"/>
    </xf>
    <xf numFmtId="0" fontId="3" fillId="0" borderId="22" xfId="0" applyFont="1" applyBorder="1" applyAlignment="1">
      <alignment horizontal="center" vertical="center"/>
    </xf>
    <xf numFmtId="0" fontId="0" fillId="0" borderId="22" xfId="0" applyBorder="1" applyAlignment="1">
      <alignment vertical="center"/>
    </xf>
    <xf numFmtId="44" fontId="3" fillId="0" borderId="22" xfId="3" applyFont="1" applyFill="1" applyBorder="1" applyAlignment="1">
      <alignment vertical="center"/>
    </xf>
    <xf numFmtId="44" fontId="3" fillId="0" borderId="23" xfId="3" applyFont="1" applyFill="1" applyBorder="1" applyAlignment="1">
      <alignment vertical="center"/>
    </xf>
    <xf numFmtId="44" fontId="0" fillId="0" borderId="0" xfId="3" applyFont="1" applyFill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vertical="center"/>
    </xf>
    <xf numFmtId="44" fontId="0" fillId="0" borderId="12" xfId="0" applyNumberFormat="1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vertical="center"/>
    </xf>
    <xf numFmtId="44" fontId="0" fillId="0" borderId="15" xfId="0" applyNumberFormat="1" applyBorder="1" applyAlignment="1">
      <alignment vertical="center"/>
    </xf>
    <xf numFmtId="0" fontId="0" fillId="0" borderId="16" xfId="0" applyBorder="1" applyAlignment="1">
      <alignment vertical="center"/>
    </xf>
    <xf numFmtId="44" fontId="0" fillId="0" borderId="17" xfId="0" applyNumberFormat="1" applyBorder="1" applyAlignment="1">
      <alignment vertical="center"/>
    </xf>
    <xf numFmtId="0" fontId="3" fillId="0" borderId="8" xfId="0" applyFont="1" applyBorder="1" applyAlignment="1">
      <alignment vertical="center"/>
    </xf>
    <xf numFmtId="44" fontId="3" fillId="0" borderId="9" xfId="0" applyNumberFormat="1" applyFont="1" applyBorder="1" applyAlignment="1">
      <alignment vertical="center"/>
    </xf>
    <xf numFmtId="44" fontId="0" fillId="0" borderId="0" xfId="0" applyNumberFormat="1" applyAlignment="1">
      <alignment vertical="center"/>
    </xf>
    <xf numFmtId="165" fontId="3" fillId="0" borderId="0" xfId="0" applyNumberFormat="1" applyFont="1" applyAlignment="1">
      <alignment vertical="center"/>
    </xf>
    <xf numFmtId="0" fontId="3" fillId="0" borderId="30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166" fontId="3" fillId="0" borderId="33" xfId="0" applyNumberFormat="1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43" fontId="8" fillId="0" borderId="39" xfId="1" applyFont="1" applyFill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44" fontId="3" fillId="0" borderId="40" xfId="3" applyFont="1" applyFill="1" applyBorder="1" applyAlignment="1">
      <alignment horizontal="center" vertical="center"/>
    </xf>
    <xf numFmtId="44" fontId="11" fillId="0" borderId="40" xfId="3" applyFont="1" applyFill="1" applyBorder="1" applyAlignment="1">
      <alignment horizontal="center" vertical="center"/>
    </xf>
    <xf numFmtId="43" fontId="10" fillId="0" borderId="0" xfId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3" fontId="0" fillId="0" borderId="0" xfId="1" applyFont="1" applyFill="1" applyAlignment="1">
      <alignment vertical="center"/>
    </xf>
    <xf numFmtId="0" fontId="3" fillId="0" borderId="43" xfId="0" applyFont="1" applyBorder="1" applyAlignment="1">
      <alignment horizontal="center" vertical="center" wrapText="1"/>
    </xf>
    <xf numFmtId="0" fontId="3" fillId="0" borderId="25" xfId="0" applyFont="1" applyBorder="1" applyAlignment="1">
      <alignment vertical="center" wrapText="1"/>
    </xf>
    <xf numFmtId="0" fontId="3" fillId="0" borderId="44" xfId="0" applyFont="1" applyBorder="1" applyAlignment="1">
      <alignment horizontal="center" vertical="center" wrapText="1"/>
    </xf>
    <xf numFmtId="0" fontId="0" fillId="0" borderId="34" xfId="0" applyBorder="1" applyAlignment="1">
      <alignment horizontal="center" vertical="center"/>
    </xf>
    <xf numFmtId="0" fontId="13" fillId="0" borderId="47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167" fontId="0" fillId="0" borderId="0" xfId="1" applyNumberFormat="1" applyFont="1" applyFill="1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0" fontId="9" fillId="0" borderId="39" xfId="0" applyFont="1" applyBorder="1" applyAlignment="1">
      <alignment vertical="center"/>
    </xf>
    <xf numFmtId="0" fontId="9" fillId="0" borderId="40" xfId="0" applyFont="1" applyBorder="1" applyAlignment="1">
      <alignment vertical="center"/>
    </xf>
    <xf numFmtId="0" fontId="3" fillId="0" borderId="19" xfId="0" applyFont="1" applyBorder="1" applyAlignment="1">
      <alignment horizontal="center" vertical="center" wrapText="1"/>
    </xf>
    <xf numFmtId="0" fontId="12" fillId="0" borderId="60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63" xfId="0" applyFont="1" applyBorder="1" applyAlignment="1">
      <alignment vertical="center"/>
    </xf>
    <xf numFmtId="0" fontId="13" fillId="0" borderId="35" xfId="0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0" fontId="12" fillId="0" borderId="38" xfId="0" applyFont="1" applyBorder="1" applyAlignment="1">
      <alignment horizontal="center" vertical="center" wrapText="1"/>
    </xf>
    <xf numFmtId="0" fontId="12" fillId="0" borderId="68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" fontId="0" fillId="0" borderId="2" xfId="1" applyNumberFormat="1" applyFont="1" applyFill="1" applyBorder="1" applyAlignment="1">
      <alignment horizontal="center" vertical="center"/>
    </xf>
    <xf numFmtId="166" fontId="0" fillId="0" borderId="2" xfId="0" applyNumberFormat="1" applyBorder="1" applyAlignment="1">
      <alignment vertical="center"/>
    </xf>
    <xf numFmtId="43" fontId="0" fillId="0" borderId="0" xfId="0" applyNumberFormat="1" applyAlignment="1">
      <alignment vertical="center"/>
    </xf>
    <xf numFmtId="0" fontId="3" fillId="0" borderId="2" xfId="0" applyFont="1" applyBorder="1" applyAlignment="1">
      <alignment vertical="center"/>
    </xf>
    <xf numFmtId="3" fontId="3" fillId="0" borderId="2" xfId="1" applyNumberFormat="1" applyFont="1" applyFill="1" applyBorder="1" applyAlignment="1">
      <alignment horizontal="center" vertical="center"/>
    </xf>
    <xf numFmtId="166" fontId="3" fillId="0" borderId="2" xfId="0" applyNumberFormat="1" applyFont="1" applyBorder="1" applyAlignment="1">
      <alignment vertical="center"/>
    </xf>
    <xf numFmtId="0" fontId="0" fillId="2" borderId="2" xfId="0" applyFill="1" applyBorder="1" applyAlignment="1">
      <alignment vertical="center" wrapText="1"/>
    </xf>
    <xf numFmtId="0" fontId="6" fillId="0" borderId="23" xfId="0" applyFont="1" applyBorder="1" applyAlignment="1">
      <alignment horizontal="center" vertical="center"/>
    </xf>
    <xf numFmtId="0" fontId="0" fillId="0" borderId="3" xfId="0" applyBorder="1" applyAlignment="1">
      <alignment vertical="center" wrapText="1"/>
    </xf>
    <xf numFmtId="44" fontId="0" fillId="0" borderId="31" xfId="3" applyFont="1" applyFill="1" applyBorder="1" applyAlignment="1">
      <alignment vertical="center"/>
    </xf>
    <xf numFmtId="167" fontId="6" fillId="0" borderId="37" xfId="1" applyNumberFormat="1" applyFont="1" applyFill="1" applyBorder="1" applyAlignment="1">
      <alignment horizontal="center" vertical="center"/>
    </xf>
    <xf numFmtId="167" fontId="6" fillId="0" borderId="51" xfId="1" applyNumberFormat="1" applyFont="1" applyFill="1" applyBorder="1" applyAlignment="1">
      <alignment horizontal="center" vertical="center"/>
    </xf>
    <xf numFmtId="167" fontId="6" fillId="0" borderId="52" xfId="1" applyNumberFormat="1" applyFont="1" applyFill="1" applyBorder="1" applyAlignment="1">
      <alignment horizontal="center" vertical="center"/>
    </xf>
    <xf numFmtId="167" fontId="6" fillId="0" borderId="53" xfId="1" applyNumberFormat="1" applyFont="1" applyFill="1" applyBorder="1" applyAlignment="1">
      <alignment horizontal="center" vertical="center"/>
    </xf>
    <xf numFmtId="44" fontId="6" fillId="0" borderId="54" xfId="3" applyFont="1" applyFill="1" applyBorder="1" applyAlignment="1">
      <alignment horizontal="center" vertical="center"/>
    </xf>
    <xf numFmtId="44" fontId="6" fillId="0" borderId="55" xfId="3" applyFont="1" applyFill="1" applyBorder="1" applyAlignment="1">
      <alignment horizontal="center" vertical="center"/>
    </xf>
    <xf numFmtId="44" fontId="6" fillId="0" borderId="56" xfId="0" applyNumberFormat="1" applyFont="1" applyBorder="1" applyAlignment="1">
      <alignment vertical="center"/>
    </xf>
    <xf numFmtId="0" fontId="6" fillId="0" borderId="39" xfId="0" applyFont="1" applyBorder="1" applyAlignment="1">
      <alignment horizontal="center" vertical="center"/>
    </xf>
    <xf numFmtId="167" fontId="6" fillId="0" borderId="22" xfId="1" applyNumberFormat="1" applyFont="1" applyFill="1" applyBorder="1" applyAlignment="1">
      <alignment horizontal="center" vertical="center"/>
    </xf>
    <xf numFmtId="44" fontId="6" fillId="0" borderId="23" xfId="3" applyFont="1" applyFill="1" applyBorder="1" applyAlignment="1">
      <alignment horizontal="center" vertical="center"/>
    </xf>
    <xf numFmtId="44" fontId="6" fillId="0" borderId="21" xfId="3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44" fontId="3" fillId="0" borderId="20" xfId="0" applyNumberFormat="1" applyFont="1" applyBorder="1" applyAlignment="1">
      <alignment horizontal="center" vertical="center"/>
    </xf>
    <xf numFmtId="164" fontId="0" fillId="0" borderId="53" xfId="4" applyFont="1" applyBorder="1" applyAlignment="1">
      <alignment horizontal="center" vertical="center"/>
    </xf>
    <xf numFmtId="1" fontId="0" fillId="0" borderId="31" xfId="3" applyNumberFormat="1" applyFont="1" applyFill="1" applyBorder="1" applyAlignment="1">
      <alignment horizontal="center" vertical="center"/>
    </xf>
    <xf numFmtId="1" fontId="0" fillId="0" borderId="53" xfId="3" applyNumberFormat="1" applyFont="1" applyFill="1" applyBorder="1" applyAlignment="1">
      <alignment horizontal="center" vertical="center"/>
    </xf>
    <xf numFmtId="3" fontId="3" fillId="0" borderId="29" xfId="0" applyNumberFormat="1" applyFont="1" applyBorder="1" applyAlignment="1">
      <alignment horizontal="center" vertical="center"/>
    </xf>
    <xf numFmtId="3" fontId="3" fillId="0" borderId="25" xfId="0" applyNumberFormat="1" applyFont="1" applyBorder="1" applyAlignment="1">
      <alignment horizontal="center" vertical="center"/>
    </xf>
    <xf numFmtId="164" fontId="0" fillId="0" borderId="29" xfId="4" applyFont="1" applyBorder="1" applyAlignment="1">
      <alignment vertical="center" wrapText="1"/>
    </xf>
    <xf numFmtId="44" fontId="3" fillId="0" borderId="27" xfId="0" applyNumberFormat="1" applyFont="1" applyBorder="1" applyAlignment="1">
      <alignment vertical="center"/>
    </xf>
    <xf numFmtId="0" fontId="7" fillId="0" borderId="22" xfId="0" applyFont="1" applyBorder="1" applyAlignment="1">
      <alignment horizontal="center" vertical="center"/>
    </xf>
    <xf numFmtId="164" fontId="0" fillId="0" borderId="0" xfId="4" applyFont="1" applyAlignment="1">
      <alignment vertical="center"/>
    </xf>
    <xf numFmtId="164" fontId="3" fillId="0" borderId="0" xfId="4" applyFont="1" applyFill="1" applyAlignment="1">
      <alignment vertical="center"/>
    </xf>
    <xf numFmtId="164" fontId="3" fillId="0" borderId="0" xfId="0" applyNumberFormat="1" applyFont="1" applyAlignment="1">
      <alignment vertical="center"/>
    </xf>
    <xf numFmtId="164" fontId="0" fillId="0" borderId="0" xfId="4" applyFont="1" applyFill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61" xfId="0" applyBorder="1" applyAlignment="1">
      <alignment horizontal="center" vertical="center" wrapText="1"/>
    </xf>
    <xf numFmtId="0" fontId="0" fillId="0" borderId="51" xfId="0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43" fontId="11" fillId="0" borderId="38" xfId="1" applyFont="1" applyFill="1" applyBorder="1" applyAlignment="1">
      <alignment horizontal="center" vertical="center"/>
    </xf>
    <xf numFmtId="43" fontId="11" fillId="0" borderId="41" xfId="1" applyFont="1" applyFill="1" applyBorder="1" applyAlignment="1">
      <alignment horizontal="center" vertical="center"/>
    </xf>
    <xf numFmtId="0" fontId="12" fillId="0" borderId="48" xfId="0" applyFont="1" applyBorder="1" applyAlignment="1">
      <alignment horizontal="left" vertical="center"/>
    </xf>
    <xf numFmtId="0" fontId="12" fillId="0" borderId="66" xfId="0" applyFont="1" applyBorder="1" applyAlignment="1">
      <alignment horizontal="left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58" xfId="0" applyFont="1" applyBorder="1" applyAlignment="1">
      <alignment horizontal="center" vertical="center" wrapText="1"/>
    </xf>
    <xf numFmtId="0" fontId="3" fillId="3" borderId="38" xfId="0" applyFont="1" applyFill="1" applyBorder="1" applyAlignment="1">
      <alignment horizontal="center" vertical="center"/>
    </xf>
    <xf numFmtId="0" fontId="3" fillId="3" borderId="39" xfId="0" applyFont="1" applyFill="1" applyBorder="1" applyAlignment="1">
      <alignment horizontal="center" vertical="center"/>
    </xf>
    <xf numFmtId="0" fontId="12" fillId="0" borderId="18" xfId="0" applyFont="1" applyBorder="1" applyAlignment="1">
      <alignment horizontal="center" vertical="center" wrapText="1"/>
    </xf>
    <xf numFmtId="0" fontId="12" fillId="0" borderId="61" xfId="0" applyFont="1" applyBorder="1" applyAlignment="1">
      <alignment horizontal="center" vertical="center" wrapText="1"/>
    </xf>
    <xf numFmtId="0" fontId="12" fillId="0" borderId="51" xfId="0" applyFont="1" applyBorder="1" applyAlignment="1">
      <alignment horizontal="center" vertical="center" wrapText="1"/>
    </xf>
    <xf numFmtId="0" fontId="3" fillId="0" borderId="64" xfId="0" applyFont="1" applyBorder="1" applyAlignment="1">
      <alignment horizontal="left" vertical="center"/>
    </xf>
    <xf numFmtId="0" fontId="3" fillId="0" borderId="65" xfId="0" applyFont="1" applyBorder="1" applyAlignment="1">
      <alignment horizontal="left" vertical="center"/>
    </xf>
    <xf numFmtId="0" fontId="9" fillId="0" borderId="38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3" fillId="5" borderId="39" xfId="0" applyFont="1" applyFill="1" applyBorder="1" applyAlignment="1">
      <alignment horizontal="center" vertical="center"/>
    </xf>
    <xf numFmtId="44" fontId="3" fillId="0" borderId="57" xfId="3" applyFont="1" applyFill="1" applyBorder="1" applyAlignment="1">
      <alignment horizontal="center" vertical="center" wrapText="1"/>
    </xf>
    <xf numFmtId="44" fontId="3" fillId="0" borderId="59" xfId="3" applyFont="1" applyFill="1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0" fillId="0" borderId="48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9" fillId="0" borderId="40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4" borderId="38" xfId="0" applyFont="1" applyFill="1" applyBorder="1" applyAlignment="1">
      <alignment horizontal="center" vertical="center"/>
    </xf>
    <xf numFmtId="0" fontId="3" fillId="4" borderId="39" xfId="0" applyFont="1" applyFill="1" applyBorder="1" applyAlignment="1">
      <alignment horizontal="center" vertical="center"/>
    </xf>
    <xf numFmtId="0" fontId="3" fillId="4" borderId="4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</cellXfs>
  <cellStyles count="5">
    <cellStyle name="Migliaia" xfId="1" builtinId="3"/>
    <cellStyle name="Normale" xfId="0" builtinId="0"/>
    <cellStyle name="Percentuale" xfId="2" builtinId="5"/>
    <cellStyle name="Valuta" xfId="4" builtinId="4"/>
    <cellStyle name="Valuta 2" xfId="3" xr:uid="{3BACFDA0-6469-40FC-A182-F69C7DB73E27}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65D158-DA9A-4FCF-BE04-5097510413A0}">
  <sheetPr>
    <pageSetUpPr fitToPage="1"/>
  </sheetPr>
  <dimension ref="A1:G24"/>
  <sheetViews>
    <sheetView tabSelected="1" zoomScaleNormal="100" workbookViewId="0">
      <selection activeCell="F5" sqref="F5"/>
    </sheetView>
  </sheetViews>
  <sheetFormatPr defaultColWidth="9.140625" defaultRowHeight="23.25" customHeight="1" x14ac:dyDescent="0.25"/>
  <cols>
    <col min="1" max="1" width="43.85546875" style="66" customWidth="1"/>
    <col min="2" max="2" width="19.140625" style="66" customWidth="1"/>
    <col min="3" max="3" width="26.140625" style="66" customWidth="1"/>
    <col min="4" max="4" width="14.7109375" style="66" bestFit="1" customWidth="1"/>
    <col min="5" max="5" width="9.140625" style="66"/>
    <col min="6" max="6" width="23.85546875" style="66" bestFit="1" customWidth="1"/>
    <col min="7" max="7" width="13" style="66" customWidth="1"/>
    <col min="8" max="16384" width="9.140625" style="66"/>
  </cols>
  <sheetData>
    <row r="1" spans="1:7" ht="23.25" customHeight="1" x14ac:dyDescent="0.25">
      <c r="A1" s="243" t="s">
        <v>0</v>
      </c>
      <c r="B1" s="244"/>
      <c r="C1" s="244"/>
      <c r="F1" s="12" t="s">
        <v>18</v>
      </c>
      <c r="G1" s="241">
        <v>17.98</v>
      </c>
    </row>
    <row r="2" spans="1:7" ht="20.25" customHeight="1" x14ac:dyDescent="0.25">
      <c r="F2" s="159" t="s">
        <v>19</v>
      </c>
      <c r="G2" s="242">
        <f>+G1*1.2</f>
        <v>21.576000000000001</v>
      </c>
    </row>
    <row r="3" spans="1:7" ht="23.25" customHeight="1" x14ac:dyDescent="0.25">
      <c r="A3" s="103" t="s">
        <v>1</v>
      </c>
      <c r="B3" s="103" t="s">
        <v>2</v>
      </c>
      <c r="C3" s="103" t="s">
        <v>3</v>
      </c>
    </row>
    <row r="4" spans="1:7" ht="32.25" customHeight="1" x14ac:dyDescent="0.25">
      <c r="A4" s="104" t="s">
        <v>4</v>
      </c>
      <c r="B4" s="105">
        <f>+'Elenco per Centri di Costo'!F11</f>
        <v>239651.53631999998</v>
      </c>
      <c r="C4" s="106">
        <f>B4/'Servizio Ferroviario'!$C$1</f>
        <v>11107.32</v>
      </c>
    </row>
    <row r="5" spans="1:7" ht="32.25" customHeight="1" x14ac:dyDescent="0.25">
      <c r="A5" s="104" t="s">
        <v>5</v>
      </c>
      <c r="B5" s="105">
        <f>+'Centri di Costo'!C7</f>
        <v>613927.81920000003</v>
      </c>
      <c r="C5" s="106">
        <f>B5/'Servizio Ferroviario'!$C$1</f>
        <v>28454.2</v>
      </c>
    </row>
    <row r="6" spans="1:7" ht="32.25" customHeight="1" x14ac:dyDescent="0.25">
      <c r="A6" s="104" t="s">
        <v>6</v>
      </c>
      <c r="B6" s="105">
        <f>+'Centri di Costo'!C5</f>
        <v>160653.60144</v>
      </c>
      <c r="C6" s="106">
        <f>B6/'Servizio Ferroviario'!$C$1</f>
        <v>7445.94</v>
      </c>
    </row>
    <row r="7" spans="1:7" ht="32.25" customHeight="1" x14ac:dyDescent="0.25">
      <c r="A7" s="104" t="s">
        <v>7</v>
      </c>
      <c r="B7" s="105">
        <f>+'Centri di Costo'!C6</f>
        <v>176612.07407999999</v>
      </c>
      <c r="C7" s="106">
        <f>B7/'Servizio Ferroviario'!$C$1</f>
        <v>8185.579999999999</v>
      </c>
      <c r="F7" s="70"/>
    </row>
    <row r="8" spans="1:7" ht="32.25" customHeight="1" x14ac:dyDescent="0.25">
      <c r="A8" s="104" t="s">
        <v>8</v>
      </c>
      <c r="B8" s="105">
        <f>+'Centri di Costo'!C8</f>
        <v>196289.81759999998</v>
      </c>
      <c r="C8" s="106">
        <f>B8/'Servizio Ferroviario'!$C$1</f>
        <v>9097.5999999999985</v>
      </c>
      <c r="F8" s="239"/>
      <c r="G8" s="115"/>
    </row>
    <row r="9" spans="1:7" ht="32.25" customHeight="1" x14ac:dyDescent="0.25">
      <c r="A9" s="104" t="s">
        <v>9</v>
      </c>
      <c r="B9" s="105">
        <f>+'Centri di Costo'!C2</f>
        <v>176189.61600000001</v>
      </c>
      <c r="C9" s="106">
        <f>B9/'Servizio Ferroviario'!$C$1</f>
        <v>8166</v>
      </c>
      <c r="F9" s="70"/>
    </row>
    <row r="10" spans="1:7" ht="32.25" customHeight="1" x14ac:dyDescent="0.25">
      <c r="A10" s="104" t="s">
        <v>10</v>
      </c>
      <c r="B10" s="105">
        <f>+'Centri di Costo'!C3</f>
        <v>38232.671999999999</v>
      </c>
      <c r="C10" s="106">
        <f>B10/'Servizio Ferroviario'!$C$1</f>
        <v>1772</v>
      </c>
      <c r="F10" s="240"/>
      <c r="G10" s="115"/>
    </row>
    <row r="11" spans="1:7" ht="32.25" customHeight="1" x14ac:dyDescent="0.25">
      <c r="A11" s="104" t="s">
        <v>11</v>
      </c>
      <c r="B11" s="105">
        <f>+'Centri di Costo'!C10+'Centri di Costo'!C9-'Apertura e Chiusura Stazioni'!D13</f>
        <v>327336.68799999997</v>
      </c>
      <c r="C11" s="106">
        <f>B11/'Servizio Ferroviario'!$C$1</f>
        <v>15171.333333333332</v>
      </c>
    </row>
    <row r="12" spans="1:7" ht="32.25" customHeight="1" x14ac:dyDescent="0.25">
      <c r="A12" s="104" t="s">
        <v>12</v>
      </c>
      <c r="B12" s="105">
        <f>+'Apertura e Chiusura Stazioni'!D13</f>
        <v>36894.959999999999</v>
      </c>
      <c r="C12" s="106">
        <f>B12/'Servizio Ferroviario'!$C$1</f>
        <v>1710</v>
      </c>
    </row>
    <row r="13" spans="1:7" ht="32.25" customHeight="1" thickBot="1" x14ac:dyDescent="0.3">
      <c r="A13" s="104" t="s">
        <v>13</v>
      </c>
      <c r="B13" s="107">
        <v>36000</v>
      </c>
      <c r="C13" s="108"/>
    </row>
    <row r="14" spans="1:7" ht="32.25" customHeight="1" thickBot="1" x14ac:dyDescent="0.3">
      <c r="A14" s="109" t="s">
        <v>14</v>
      </c>
      <c r="B14" s="110">
        <f>SUM(B4:B13)</f>
        <v>2001788.7846399997</v>
      </c>
      <c r="C14" s="111"/>
    </row>
    <row r="15" spans="1:7" ht="28.5" customHeight="1" thickBot="1" x14ac:dyDescent="0.3">
      <c r="A15" s="245" t="s">
        <v>15</v>
      </c>
      <c r="B15" s="246"/>
      <c r="C15" s="112">
        <f>SUM(C4:C12)</f>
        <v>91109.973333333342</v>
      </c>
    </row>
    <row r="17" spans="1:5" ht="23.25" customHeight="1" x14ac:dyDescent="0.25">
      <c r="B17" s="113"/>
    </row>
    <row r="18" spans="1:5" ht="23.25" customHeight="1" x14ac:dyDescent="0.25">
      <c r="A18" s="114" t="s">
        <v>16</v>
      </c>
      <c r="B18" s="114">
        <f>+C15*G1*3</f>
        <v>4914471.961600001</v>
      </c>
      <c r="C18" s="114"/>
      <c r="D18" s="115"/>
    </row>
    <row r="19" spans="1:5" ht="23.25" customHeight="1" x14ac:dyDescent="0.25">
      <c r="A19" s="171" t="s">
        <v>17</v>
      </c>
      <c r="B19" s="171">
        <f>+B14*3</f>
        <v>6005366.3539199997</v>
      </c>
      <c r="D19" s="238"/>
      <c r="E19" s="115"/>
    </row>
    <row r="20" spans="1:5" ht="23.25" customHeight="1" x14ac:dyDescent="0.25">
      <c r="A20" s="114"/>
      <c r="B20" s="114"/>
      <c r="C20" s="114"/>
      <c r="D20" s="238"/>
    </row>
    <row r="22" spans="1:5" ht="23.25" customHeight="1" x14ac:dyDescent="0.25">
      <c r="E22" s="75"/>
    </row>
    <row r="24" spans="1:5" ht="23.25" customHeight="1" x14ac:dyDescent="0.25">
      <c r="D24" s="116"/>
    </row>
  </sheetData>
  <sheetProtection algorithmName="SHA-512" hashValue="x+rWwSNnvPhFrfymhOX4Q8QBVZPGzHHO5S39w/+qvEfsOJkinl3m+gWKzGO0Pbol6p1nEbvmVPwFKYg6qHnWDQ==" saltValue="1rxPosx1MxasVe+FLlqASg==" spinCount="100000" sheet="1" objects="1" scenarios="1"/>
  <autoFilter ref="A3:B14" xr:uid="{00000000-0009-0000-0000-000000000000}"/>
  <mergeCells count="2">
    <mergeCell ref="A1:C1"/>
    <mergeCell ref="A15:B15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98" orientation="landscape" r:id="rId1"/>
  <headerFooter>
    <oddHeader>&amp;CAllegato 7 - Schede Tempi Operazioni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9A0D31-3450-4C5A-9195-19F26CDCD720}">
  <sheetPr>
    <pageSetUpPr fitToPage="1"/>
  </sheetPr>
  <dimension ref="A1:C15"/>
  <sheetViews>
    <sheetView zoomScaleNormal="100" workbookViewId="0">
      <selection activeCell="A4" sqref="A4:A5"/>
    </sheetView>
  </sheetViews>
  <sheetFormatPr defaultColWidth="9.140625" defaultRowHeight="15" x14ac:dyDescent="0.25"/>
  <cols>
    <col min="1" max="1" width="6.5703125" style="12" bestFit="1" customWidth="1"/>
    <col min="2" max="2" width="93.5703125" style="66" customWidth="1"/>
    <col min="3" max="3" width="23.7109375" style="66" customWidth="1"/>
    <col min="4" max="4" width="23.5703125" style="66" bestFit="1" customWidth="1"/>
    <col min="5" max="16384" width="9.140625" style="66"/>
  </cols>
  <sheetData>
    <row r="1" spans="1:3" s="159" customFormat="1" ht="24" customHeight="1" thickBot="1" x14ac:dyDescent="0.3">
      <c r="A1" s="156" t="s">
        <v>20</v>
      </c>
      <c r="B1" s="157" t="s">
        <v>21</v>
      </c>
      <c r="C1" s="158" t="s">
        <v>22</v>
      </c>
    </row>
    <row r="2" spans="1:3" ht="24" customHeight="1" x14ac:dyDescent="0.25">
      <c r="A2" s="160" t="s">
        <v>23</v>
      </c>
      <c r="B2" s="161" t="s">
        <v>24</v>
      </c>
      <c r="C2" s="162">
        <f>'Elenco per Centri di Costo'!F2</f>
        <v>176189.61600000001</v>
      </c>
    </row>
    <row r="3" spans="1:3" ht="24" customHeight="1" x14ac:dyDescent="0.25">
      <c r="A3" s="163" t="s">
        <v>25</v>
      </c>
      <c r="B3" s="164" t="s">
        <v>26</v>
      </c>
      <c r="C3" s="165">
        <f>'Elenco per Centri di Costo'!F3</f>
        <v>38232.671999999999</v>
      </c>
    </row>
    <row r="4" spans="1:3" ht="24" customHeight="1" x14ac:dyDescent="0.25">
      <c r="A4" s="163" t="s">
        <v>27</v>
      </c>
      <c r="B4" s="164" t="s">
        <v>28</v>
      </c>
      <c r="C4" s="165">
        <f>'Elenco per Centri di Costo'!F11</f>
        <v>239651.53631999998</v>
      </c>
    </row>
    <row r="5" spans="1:3" ht="24" customHeight="1" x14ac:dyDescent="0.25">
      <c r="A5" s="163" t="s">
        <v>29</v>
      </c>
      <c r="B5" s="164" t="s">
        <v>30</v>
      </c>
      <c r="C5" s="165">
        <f>'Elenco per Centri di Costo'!F20</f>
        <v>160653.60144</v>
      </c>
    </row>
    <row r="6" spans="1:3" ht="24" customHeight="1" x14ac:dyDescent="0.25">
      <c r="A6" s="163" t="s">
        <v>31</v>
      </c>
      <c r="B6" s="164" t="s">
        <v>32</v>
      </c>
      <c r="C6" s="165">
        <f>'Elenco per Centri di Costo'!F33</f>
        <v>176612.07407999999</v>
      </c>
    </row>
    <row r="7" spans="1:3" ht="24" customHeight="1" x14ac:dyDescent="0.25">
      <c r="A7" s="163" t="s">
        <v>33</v>
      </c>
      <c r="B7" s="164" t="s">
        <v>34</v>
      </c>
      <c r="C7" s="165">
        <f>'Elenco per Centri di Costo'!F57</f>
        <v>613927.81920000003</v>
      </c>
    </row>
    <row r="8" spans="1:3" ht="24" customHeight="1" x14ac:dyDescent="0.25">
      <c r="A8" s="163" t="s">
        <v>35</v>
      </c>
      <c r="B8" s="164" t="s">
        <v>36</v>
      </c>
      <c r="C8" s="165">
        <f>'Elenco per Centri di Costo'!F80</f>
        <v>196289.81759999998</v>
      </c>
    </row>
    <row r="9" spans="1:3" ht="24" customHeight="1" x14ac:dyDescent="0.25">
      <c r="A9" s="163" t="s">
        <v>37</v>
      </c>
      <c r="B9" s="164" t="s">
        <v>38</v>
      </c>
      <c r="C9" s="165">
        <f>'Elenco per Centri di Costo'!F94</f>
        <v>59147.007999999987</v>
      </c>
    </row>
    <row r="10" spans="1:3" ht="24" customHeight="1" x14ac:dyDescent="0.25">
      <c r="A10" s="163" t="s">
        <v>39</v>
      </c>
      <c r="B10" s="164" t="s">
        <v>40</v>
      </c>
      <c r="C10" s="165">
        <f>'Elenco per Centri di Costo'!F119</f>
        <v>305084.64</v>
      </c>
    </row>
    <row r="11" spans="1:3" ht="24" customHeight="1" thickBot="1" x14ac:dyDescent="0.3">
      <c r="A11" s="163" t="s">
        <v>41</v>
      </c>
      <c r="B11" s="166" t="s">
        <v>42</v>
      </c>
      <c r="C11" s="167">
        <f>'Elenco per Centri di Costo'!F120</f>
        <v>36000</v>
      </c>
    </row>
    <row r="12" spans="1:3" s="70" customFormat="1" ht="24" customHeight="1" thickBot="1" x14ac:dyDescent="0.3">
      <c r="A12" s="156" t="s">
        <v>43</v>
      </c>
      <c r="B12" s="168"/>
      <c r="C12" s="169">
        <f>SUM(C2:C11)</f>
        <v>2001788.7846399997</v>
      </c>
    </row>
    <row r="15" spans="1:3" x14ac:dyDescent="0.25">
      <c r="C15" s="170"/>
    </row>
  </sheetData>
  <sheetProtection algorithmName="SHA-512" hashValue="gL8oQ1iTfmNXTgK+Ih5prrkKzJIeaa30OIcc438Vm0/a+i+wv4gyGxu3W/dpG1WWB8U2awId09axhyIVdMtcfA==" saltValue="G3JUitGEa+7BbINO6oyPKw==" spinCount="100000" sheet="1" objects="1" scenarios="1"/>
  <printOptions horizontalCentered="1"/>
  <pageMargins left="0.11811023622047245" right="0.11811023622047245" top="0.74803149606299213" bottom="0.74803149606299213" header="0.31496062992125984" footer="0.31496062992125984"/>
  <pageSetup paperSize="9" orientation="landscape" r:id="rId1"/>
  <headerFooter>
    <oddHeader>&amp;CAllegato 7 - Schede Tempi Operazioni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E8C178-E9DC-43FA-9C86-4B9E396C6CC2}">
  <dimension ref="A1:I121"/>
  <sheetViews>
    <sheetView zoomScale="85" zoomScaleNormal="85" workbookViewId="0">
      <pane xSplit="1" ySplit="1" topLeftCell="B97" activePane="bottomRight" state="frozen"/>
      <selection pane="topRight" activeCell="C26" sqref="C26"/>
      <selection pane="bottomLeft" activeCell="C26" sqref="C26"/>
      <selection pane="bottomRight" activeCell="E94" sqref="E94"/>
    </sheetView>
  </sheetViews>
  <sheetFormatPr defaultColWidth="9.140625" defaultRowHeight="15" x14ac:dyDescent="0.25"/>
  <cols>
    <col min="1" max="1" width="7.42578125" style="66" customWidth="1"/>
    <col min="2" max="2" width="58" style="66" customWidth="1"/>
    <col min="3" max="3" width="54.85546875" style="66" customWidth="1"/>
    <col min="4" max="4" width="27.85546875" style="66" bestFit="1" customWidth="1"/>
    <col min="5" max="5" width="20.85546875" style="155" customWidth="1"/>
    <col min="6" max="6" width="21.28515625" style="66" customWidth="1"/>
    <col min="7" max="7" width="9.140625" style="66"/>
    <col min="8" max="9" width="13.140625" style="66" bestFit="1" customWidth="1"/>
    <col min="10" max="16384" width="9.140625" style="66"/>
  </cols>
  <sheetData>
    <row r="1" spans="1:8" s="12" customFormat="1" ht="30" customHeight="1" thickBot="1" x14ac:dyDescent="0.3">
      <c r="A1" s="117" t="s">
        <v>20</v>
      </c>
      <c r="B1" s="118" t="s">
        <v>44</v>
      </c>
      <c r="C1" s="118" t="s">
        <v>45</v>
      </c>
      <c r="D1" s="118" t="s">
        <v>46</v>
      </c>
      <c r="E1" s="118" t="s">
        <v>2</v>
      </c>
      <c r="F1" s="119" t="s">
        <v>47</v>
      </c>
    </row>
    <row r="2" spans="1:8" ht="33.75" customHeight="1" thickBot="1" x14ac:dyDescent="0.3">
      <c r="A2" s="120" t="s">
        <v>23</v>
      </c>
      <c r="B2" s="121" t="s">
        <v>24</v>
      </c>
      <c r="C2" s="121" t="s">
        <v>66</v>
      </c>
      <c r="D2" s="121" t="s">
        <v>48</v>
      </c>
      <c r="E2" s="122">
        <f>+'Uffici Direzionali'!E4</f>
        <v>176189.61600000001</v>
      </c>
      <c r="F2" s="123">
        <f>SUM(E2:E2)</f>
        <v>176189.61600000001</v>
      </c>
    </row>
    <row r="3" spans="1:8" ht="33.75" customHeight="1" thickBot="1" x14ac:dyDescent="0.3">
      <c r="A3" s="120" t="s">
        <v>25</v>
      </c>
      <c r="B3" s="121" t="s">
        <v>26</v>
      </c>
      <c r="C3" s="121" t="s">
        <v>66</v>
      </c>
      <c r="D3" s="121" t="s">
        <v>48</v>
      </c>
      <c r="E3" s="122">
        <f>+'Uffici Direzionali'!E5</f>
        <v>38232.671999999999</v>
      </c>
      <c r="F3" s="123">
        <f>SUM(E3)</f>
        <v>38232.671999999999</v>
      </c>
    </row>
    <row r="4" spans="1:8" ht="33.75" customHeight="1" x14ac:dyDescent="0.25">
      <c r="A4" s="120" t="s">
        <v>27</v>
      </c>
      <c r="B4" s="121" t="s">
        <v>28</v>
      </c>
      <c r="C4" s="121" t="s">
        <v>49</v>
      </c>
      <c r="D4" s="121" t="s">
        <v>50</v>
      </c>
      <c r="E4" s="122">
        <f>+'Servizio automobilistico'!S5</f>
        <v>60585.408000000003</v>
      </c>
      <c r="F4" s="124"/>
    </row>
    <row r="5" spans="1:8" ht="33.75" customHeight="1" x14ac:dyDescent="0.25">
      <c r="A5" s="125" t="s">
        <v>27</v>
      </c>
      <c r="B5" s="126" t="s">
        <v>28</v>
      </c>
      <c r="C5" s="126" t="s">
        <v>51</v>
      </c>
      <c r="D5" s="126" t="s">
        <v>50</v>
      </c>
      <c r="E5" s="127">
        <f>+'Servizio automobilistico'!S6</f>
        <v>100585.37016000001</v>
      </c>
      <c r="F5" s="128"/>
    </row>
    <row r="6" spans="1:8" ht="33.75" customHeight="1" x14ac:dyDescent="0.25">
      <c r="A6" s="125" t="s">
        <v>27</v>
      </c>
      <c r="B6" s="126" t="s">
        <v>28</v>
      </c>
      <c r="C6" s="126" t="s">
        <v>87</v>
      </c>
      <c r="D6" s="126" t="s">
        <v>48</v>
      </c>
      <c r="E6" s="127">
        <f>+'Impianti Fissi'!K8-'Impianti Fissi'!J7</f>
        <v>38146.368000000002</v>
      </c>
      <c r="F6" s="128"/>
    </row>
    <row r="7" spans="1:8" ht="33.75" customHeight="1" x14ac:dyDescent="0.25">
      <c r="A7" s="125" t="s">
        <v>27</v>
      </c>
      <c r="B7" s="126" t="s">
        <v>28</v>
      </c>
      <c r="C7" s="126" t="s">
        <v>52</v>
      </c>
      <c r="D7" s="126" t="s">
        <v>48</v>
      </c>
      <c r="E7" s="127">
        <f>+'Impianti Fissi'!J7</f>
        <v>517.82400000000007</v>
      </c>
      <c r="F7" s="128"/>
    </row>
    <row r="8" spans="1:8" ht="33.75" customHeight="1" x14ac:dyDescent="0.25">
      <c r="A8" s="125" t="s">
        <v>27</v>
      </c>
      <c r="B8" s="126" t="s">
        <v>28</v>
      </c>
      <c r="C8" s="126" t="s">
        <v>186</v>
      </c>
      <c r="D8" s="126" t="s">
        <v>50</v>
      </c>
      <c r="E8" s="127">
        <f>+'Servizio automobilistico'!S13</f>
        <v>1941.8400000000001</v>
      </c>
      <c r="F8" s="128"/>
    </row>
    <row r="9" spans="1:8" ht="33.75" customHeight="1" x14ac:dyDescent="0.25">
      <c r="A9" s="125" t="s">
        <v>27</v>
      </c>
      <c r="B9" s="126" t="s">
        <v>28</v>
      </c>
      <c r="C9" s="126" t="s">
        <v>53</v>
      </c>
      <c r="D9" s="126" t="s">
        <v>50</v>
      </c>
      <c r="E9" s="127">
        <f>+'Servizio automobilistico'!S7</f>
        <v>17951.232</v>
      </c>
      <c r="F9" s="129"/>
    </row>
    <row r="10" spans="1:8" ht="33.75" customHeight="1" thickBot="1" x14ac:dyDescent="0.3">
      <c r="A10" s="125" t="s">
        <v>27</v>
      </c>
      <c r="B10" s="126" t="s">
        <v>28</v>
      </c>
      <c r="C10" s="126" t="s">
        <v>189</v>
      </c>
      <c r="D10" s="126" t="s">
        <v>50</v>
      </c>
      <c r="E10" s="127">
        <f>+'Servizio automobilistico'!S12</f>
        <v>1972.2621600000002</v>
      </c>
      <c r="F10" s="130"/>
    </row>
    <row r="11" spans="1:8" ht="33.75" customHeight="1" thickBot="1" x14ac:dyDescent="0.3">
      <c r="A11" s="131" t="s">
        <v>27</v>
      </c>
      <c r="B11" s="132" t="s">
        <v>28</v>
      </c>
      <c r="C11" s="132" t="s">
        <v>54</v>
      </c>
      <c r="D11" s="132" t="s">
        <v>50</v>
      </c>
      <c r="E11" s="64">
        <f>+'Servizio automobilistico'!S8</f>
        <v>17951.232</v>
      </c>
      <c r="F11" s="123">
        <f>SUM(E4:E11)</f>
        <v>239651.53631999998</v>
      </c>
      <c r="H11" s="115"/>
    </row>
    <row r="12" spans="1:8" ht="33.75" customHeight="1" x14ac:dyDescent="0.25">
      <c r="A12" s="120" t="s">
        <v>29</v>
      </c>
      <c r="B12" s="121" t="s">
        <v>30</v>
      </c>
      <c r="C12" s="121" t="s">
        <v>49</v>
      </c>
      <c r="D12" s="121" t="s">
        <v>50</v>
      </c>
      <c r="E12" s="122">
        <f>+'Servizio automobilistico'!I5</f>
        <v>39613.536</v>
      </c>
      <c r="F12" s="124"/>
    </row>
    <row r="13" spans="1:8" ht="33.75" customHeight="1" x14ac:dyDescent="0.25">
      <c r="A13" s="125" t="s">
        <v>29</v>
      </c>
      <c r="B13" s="126" t="s">
        <v>30</v>
      </c>
      <c r="C13" s="126" t="s">
        <v>51</v>
      </c>
      <c r="D13" s="126" t="s">
        <v>50</v>
      </c>
      <c r="E13" s="127">
        <f>+'Servizio automobilistico'!I6</f>
        <v>67056.913440000004</v>
      </c>
      <c r="F13" s="128"/>
    </row>
    <row r="14" spans="1:8" ht="33.75" customHeight="1" x14ac:dyDescent="0.25">
      <c r="A14" s="125" t="s">
        <v>29</v>
      </c>
      <c r="B14" s="126" t="s">
        <v>30</v>
      </c>
      <c r="C14" s="126" t="s">
        <v>87</v>
      </c>
      <c r="D14" s="126" t="s">
        <v>48</v>
      </c>
      <c r="E14" s="127">
        <f>+'Impianti Fissi'!J9</f>
        <v>19418.400000000001</v>
      </c>
      <c r="F14" s="128"/>
    </row>
    <row r="15" spans="1:8" ht="33.75" customHeight="1" x14ac:dyDescent="0.25">
      <c r="A15" s="125" t="s">
        <v>29</v>
      </c>
      <c r="B15" s="126" t="s">
        <v>30</v>
      </c>
      <c r="C15" s="126" t="s">
        <v>52</v>
      </c>
      <c r="D15" s="126" t="s">
        <v>48</v>
      </c>
      <c r="E15" s="127">
        <f>+'Impianti Fissi'!J10</f>
        <v>517.82400000000007</v>
      </c>
      <c r="F15" s="128"/>
    </row>
    <row r="16" spans="1:8" ht="33.75" customHeight="1" x14ac:dyDescent="0.25">
      <c r="A16" s="125" t="s">
        <v>29</v>
      </c>
      <c r="B16" s="126" t="s">
        <v>28</v>
      </c>
      <c r="C16" s="126" t="s">
        <v>186</v>
      </c>
      <c r="D16" s="126" t="s">
        <v>50</v>
      </c>
      <c r="E16" s="127">
        <f>+'Servizio automobilistico'!I13</f>
        <v>258.91200000000003</v>
      </c>
      <c r="F16" s="128"/>
    </row>
    <row r="17" spans="1:6" ht="33.75" customHeight="1" x14ac:dyDescent="0.25">
      <c r="A17" s="125" t="s">
        <v>29</v>
      </c>
      <c r="B17" s="126" t="s">
        <v>30</v>
      </c>
      <c r="C17" s="213" t="s">
        <v>226</v>
      </c>
      <c r="D17" s="126" t="s">
        <v>48</v>
      </c>
      <c r="E17" s="127">
        <f>+'Impianti Fissi'!J11</f>
        <v>2243.904</v>
      </c>
      <c r="F17" s="128"/>
    </row>
    <row r="18" spans="1:6" ht="33.75" customHeight="1" x14ac:dyDescent="0.25">
      <c r="A18" s="125" t="s">
        <v>29</v>
      </c>
      <c r="B18" s="126" t="s">
        <v>30</v>
      </c>
      <c r="C18" s="126" t="s">
        <v>187</v>
      </c>
      <c r="D18" s="126" t="s">
        <v>48</v>
      </c>
      <c r="E18" s="127">
        <f>+'Impianti Fissi'!J12</f>
        <v>8414.64</v>
      </c>
      <c r="F18" s="128"/>
    </row>
    <row r="19" spans="1:6" ht="33.75" customHeight="1" thickBot="1" x14ac:dyDescent="0.3">
      <c r="A19" s="125" t="s">
        <v>29</v>
      </c>
      <c r="B19" s="126" t="s">
        <v>30</v>
      </c>
      <c r="C19" s="126" t="s">
        <v>53</v>
      </c>
      <c r="D19" s="126" t="s">
        <v>50</v>
      </c>
      <c r="E19" s="127">
        <f>+'Servizio automobilistico'!I7</f>
        <v>11392.128000000001</v>
      </c>
      <c r="F19" s="133"/>
    </row>
    <row r="20" spans="1:6" ht="33.75" customHeight="1" thickBot="1" x14ac:dyDescent="0.3">
      <c r="A20" s="131" t="s">
        <v>29</v>
      </c>
      <c r="B20" s="132" t="s">
        <v>30</v>
      </c>
      <c r="C20" s="132" t="s">
        <v>54</v>
      </c>
      <c r="D20" s="132" t="s">
        <v>50</v>
      </c>
      <c r="E20" s="64">
        <f>+'Servizio automobilistico'!I8</f>
        <v>11737.344000000001</v>
      </c>
      <c r="F20" s="123">
        <f>SUM(E12:E20)</f>
        <v>160653.60144</v>
      </c>
    </row>
    <row r="21" spans="1:6" ht="33.75" customHeight="1" x14ac:dyDescent="0.25">
      <c r="A21" s="120" t="s">
        <v>31</v>
      </c>
      <c r="B21" s="121" t="s">
        <v>32</v>
      </c>
      <c r="C21" s="121" t="s">
        <v>49</v>
      </c>
      <c r="D21" s="121" t="s">
        <v>50</v>
      </c>
      <c r="E21" s="122">
        <f>+'Servizio automobilistico'!N5</f>
        <v>30292.704000000002</v>
      </c>
      <c r="F21" s="124"/>
    </row>
    <row r="22" spans="1:6" ht="33.75" customHeight="1" x14ac:dyDescent="0.25">
      <c r="A22" s="125" t="s">
        <v>31</v>
      </c>
      <c r="B22" s="126" t="s">
        <v>32</v>
      </c>
      <c r="C22" s="126" t="s">
        <v>51</v>
      </c>
      <c r="D22" s="126" t="s">
        <v>50</v>
      </c>
      <c r="E22" s="127">
        <f>+'Servizio automobilistico'!N6</f>
        <v>51278.816160000009</v>
      </c>
      <c r="F22" s="128"/>
    </row>
    <row r="23" spans="1:6" ht="33.75" customHeight="1" x14ac:dyDescent="0.25">
      <c r="A23" s="125" t="s">
        <v>31</v>
      </c>
      <c r="B23" s="126" t="s">
        <v>32</v>
      </c>
      <c r="C23" s="126" t="s">
        <v>87</v>
      </c>
      <c r="D23" s="126" t="s">
        <v>48</v>
      </c>
      <c r="E23" s="127">
        <f>+'Impianti Fissi'!J9</f>
        <v>19418.400000000001</v>
      </c>
      <c r="F23" s="128"/>
    </row>
    <row r="24" spans="1:6" ht="33.75" customHeight="1" x14ac:dyDescent="0.25">
      <c r="A24" s="125" t="s">
        <v>31</v>
      </c>
      <c r="B24" s="126" t="s">
        <v>32</v>
      </c>
      <c r="C24" s="126" t="s">
        <v>52</v>
      </c>
      <c r="D24" s="126" t="s">
        <v>48</v>
      </c>
      <c r="E24" s="127">
        <f>+'Impianti Fissi'!J17</f>
        <v>517.82400000000007</v>
      </c>
      <c r="F24" s="128"/>
    </row>
    <row r="25" spans="1:6" ht="33.75" customHeight="1" x14ac:dyDescent="0.25">
      <c r="A25" s="125" t="s">
        <v>31</v>
      </c>
      <c r="B25" s="126" t="s">
        <v>32</v>
      </c>
      <c r="C25" s="126" t="s">
        <v>186</v>
      </c>
      <c r="D25" s="126" t="s">
        <v>50</v>
      </c>
      <c r="E25" s="127">
        <f>+'Servizio automobilistico'!N13</f>
        <v>1553.472</v>
      </c>
      <c r="F25" s="128"/>
    </row>
    <row r="26" spans="1:6" ht="33.75" customHeight="1" x14ac:dyDescent="0.25">
      <c r="A26" s="125" t="s">
        <v>31</v>
      </c>
      <c r="B26" s="126" t="s">
        <v>32</v>
      </c>
      <c r="C26" s="126" t="s">
        <v>53</v>
      </c>
      <c r="D26" s="126" t="s">
        <v>50</v>
      </c>
      <c r="E26" s="127">
        <f>+'Servizio automobilistico'!N7</f>
        <v>8975.616</v>
      </c>
      <c r="F26" s="128"/>
    </row>
    <row r="27" spans="1:6" ht="33.75" customHeight="1" x14ac:dyDescent="0.25">
      <c r="A27" s="125" t="s">
        <v>31</v>
      </c>
      <c r="B27" s="126" t="s">
        <v>32</v>
      </c>
      <c r="C27" s="126" t="s">
        <v>54</v>
      </c>
      <c r="D27" s="126" t="s">
        <v>50</v>
      </c>
      <c r="E27" s="127">
        <f>+'Servizio automobilistico'!N8</f>
        <v>8975.616</v>
      </c>
      <c r="F27" s="128"/>
    </row>
    <row r="28" spans="1:6" ht="33.75" customHeight="1" x14ac:dyDescent="0.25">
      <c r="A28" s="125" t="s">
        <v>31</v>
      </c>
      <c r="B28" s="126" t="s">
        <v>32</v>
      </c>
      <c r="C28" s="126" t="s">
        <v>167</v>
      </c>
      <c r="D28" s="126" t="s">
        <v>50</v>
      </c>
      <c r="E28" s="127">
        <f>+'Servizio automobilistico'!N11</f>
        <v>4142.5920000000006</v>
      </c>
      <c r="F28" s="128"/>
    </row>
    <row r="29" spans="1:6" ht="33.75" customHeight="1" x14ac:dyDescent="0.25">
      <c r="A29" s="125" t="s">
        <v>31</v>
      </c>
      <c r="B29" s="126" t="s">
        <v>32</v>
      </c>
      <c r="C29" s="126" t="s">
        <v>228</v>
      </c>
      <c r="D29" s="126" t="s">
        <v>48</v>
      </c>
      <c r="E29" s="127">
        <f>+'Impianti Fissi'!J13</f>
        <v>2243.904</v>
      </c>
      <c r="F29" s="128"/>
    </row>
    <row r="30" spans="1:6" ht="33.75" customHeight="1" x14ac:dyDescent="0.25">
      <c r="A30" s="125" t="s">
        <v>31</v>
      </c>
      <c r="B30" s="126" t="s">
        <v>32</v>
      </c>
      <c r="C30" s="126" t="s">
        <v>229</v>
      </c>
      <c r="D30" s="126" t="s">
        <v>48</v>
      </c>
      <c r="E30" s="127">
        <f>+'Impianti Fissi'!J14</f>
        <v>9320.8320000000003</v>
      </c>
      <c r="F30" s="128"/>
    </row>
    <row r="31" spans="1:6" ht="33.75" customHeight="1" x14ac:dyDescent="0.25">
      <c r="A31" s="125" t="s">
        <v>31</v>
      </c>
      <c r="B31" s="126" t="s">
        <v>32</v>
      </c>
      <c r="C31" s="213" t="s">
        <v>227</v>
      </c>
      <c r="D31" s="126" t="s">
        <v>48</v>
      </c>
      <c r="E31" s="127">
        <f>+'Impianti Fissi'!J15</f>
        <v>2243.904</v>
      </c>
      <c r="F31" s="128"/>
    </row>
    <row r="32" spans="1:6" ht="33.75" customHeight="1" thickBot="1" x14ac:dyDescent="0.3">
      <c r="A32" s="125" t="s">
        <v>31</v>
      </c>
      <c r="B32" s="126" t="s">
        <v>32</v>
      </c>
      <c r="C32" s="126" t="s">
        <v>188</v>
      </c>
      <c r="D32" s="126" t="s">
        <v>50</v>
      </c>
      <c r="E32" s="127">
        <f>+'Servizio automobilistico'!N9</f>
        <v>13981.248</v>
      </c>
      <c r="F32" s="133"/>
    </row>
    <row r="33" spans="1:6" ht="33.75" customHeight="1" thickBot="1" x14ac:dyDescent="0.3">
      <c r="A33" s="131" t="s">
        <v>31</v>
      </c>
      <c r="B33" s="132" t="s">
        <v>32</v>
      </c>
      <c r="C33" s="132" t="s">
        <v>56</v>
      </c>
      <c r="D33" s="132" t="s">
        <v>50</v>
      </c>
      <c r="E33" s="64">
        <f>+'Servizio automobilistico'!N10</f>
        <v>23667.145920000003</v>
      </c>
      <c r="F33" s="123">
        <f>SUM(E21:E33)</f>
        <v>176612.07407999999</v>
      </c>
    </row>
    <row r="34" spans="1:6" ht="33.75" customHeight="1" x14ac:dyDescent="0.25">
      <c r="A34" s="120" t="s">
        <v>33</v>
      </c>
      <c r="B34" s="121" t="s">
        <v>34</v>
      </c>
      <c r="C34" s="121" t="s">
        <v>207</v>
      </c>
      <c r="D34" s="121" t="s">
        <v>50</v>
      </c>
      <c r="E34" s="122">
        <f>+'Servizio Ferroviario'!L5</f>
        <v>0</v>
      </c>
      <c r="F34" s="124"/>
    </row>
    <row r="35" spans="1:6" ht="33.75" customHeight="1" x14ac:dyDescent="0.25">
      <c r="A35" s="125" t="s">
        <v>33</v>
      </c>
      <c r="B35" s="126" t="s">
        <v>34</v>
      </c>
      <c r="C35" s="126" t="s">
        <v>191</v>
      </c>
      <c r="D35" s="126" t="s">
        <v>50</v>
      </c>
      <c r="E35" s="127">
        <f>+'Servizio Ferroviario'!L6</f>
        <v>3452.16</v>
      </c>
      <c r="F35" s="128"/>
    </row>
    <row r="36" spans="1:6" ht="33.75" customHeight="1" x14ac:dyDescent="0.25">
      <c r="A36" s="125" t="s">
        <v>33</v>
      </c>
      <c r="B36" s="126" t="s">
        <v>34</v>
      </c>
      <c r="C36" s="126" t="s">
        <v>190</v>
      </c>
      <c r="D36" s="126" t="s">
        <v>50</v>
      </c>
      <c r="E36" s="127">
        <f>+'Servizio Ferroviario'!L7</f>
        <v>16570.368000000002</v>
      </c>
      <c r="F36" s="128"/>
    </row>
    <row r="37" spans="1:6" ht="33.75" customHeight="1" x14ac:dyDescent="0.25">
      <c r="A37" s="125" t="s">
        <v>33</v>
      </c>
      <c r="B37" s="126" t="s">
        <v>34</v>
      </c>
      <c r="C37" s="126" t="s">
        <v>208</v>
      </c>
      <c r="D37" s="126" t="s">
        <v>50</v>
      </c>
      <c r="E37" s="127">
        <f>+'Servizio Ferroviario'!L8</f>
        <v>0</v>
      </c>
      <c r="F37" s="128"/>
    </row>
    <row r="38" spans="1:6" ht="33.75" customHeight="1" x14ac:dyDescent="0.25">
      <c r="A38" s="125" t="s">
        <v>33</v>
      </c>
      <c r="B38" s="126" t="s">
        <v>34</v>
      </c>
      <c r="C38" s="126" t="s">
        <v>192</v>
      </c>
      <c r="D38" s="126" t="s">
        <v>50</v>
      </c>
      <c r="E38" s="127">
        <f>+'Servizio Ferroviario'!L9</f>
        <v>26926.848000000002</v>
      </c>
      <c r="F38" s="128"/>
    </row>
    <row r="39" spans="1:6" ht="33.75" customHeight="1" x14ac:dyDescent="0.25">
      <c r="A39" s="125" t="s">
        <v>33</v>
      </c>
      <c r="B39" s="126" t="s">
        <v>34</v>
      </c>
      <c r="C39" s="126" t="s">
        <v>193</v>
      </c>
      <c r="D39" s="126" t="s">
        <v>50</v>
      </c>
      <c r="E39" s="127">
        <f>+'Servizio Ferroviario'!L10</f>
        <v>161561.08800000002</v>
      </c>
      <c r="F39" s="128"/>
    </row>
    <row r="40" spans="1:6" ht="33.75" customHeight="1" x14ac:dyDescent="0.25">
      <c r="A40" s="125" t="s">
        <v>33</v>
      </c>
      <c r="B40" s="126" t="s">
        <v>34</v>
      </c>
      <c r="C40" s="126" t="s">
        <v>209</v>
      </c>
      <c r="D40" s="126" t="s">
        <v>50</v>
      </c>
      <c r="E40" s="127">
        <f>+'Servizio Ferroviario'!L11</f>
        <v>0</v>
      </c>
      <c r="F40" s="128"/>
    </row>
    <row r="41" spans="1:6" ht="33.75" customHeight="1" x14ac:dyDescent="0.25">
      <c r="A41" s="125" t="s">
        <v>33</v>
      </c>
      <c r="B41" s="126" t="s">
        <v>34</v>
      </c>
      <c r="C41" s="126" t="s">
        <v>194</v>
      </c>
      <c r="D41" s="126" t="s">
        <v>50</v>
      </c>
      <c r="E41" s="127">
        <f>+'Servizio Ferroviario'!L12</f>
        <v>15534.720000000001</v>
      </c>
      <c r="F41" s="128"/>
    </row>
    <row r="42" spans="1:6" ht="33.75" customHeight="1" x14ac:dyDescent="0.25">
      <c r="A42" s="125" t="s">
        <v>33</v>
      </c>
      <c r="B42" s="126" t="s">
        <v>34</v>
      </c>
      <c r="C42" s="126" t="s">
        <v>195</v>
      </c>
      <c r="D42" s="126" t="s">
        <v>50</v>
      </c>
      <c r="E42" s="127">
        <f>+'Servizio Ferroviario'!L13</f>
        <v>82851.839999999997</v>
      </c>
      <c r="F42" s="128"/>
    </row>
    <row r="43" spans="1:6" ht="33.75" customHeight="1" x14ac:dyDescent="0.25">
      <c r="A43" s="125" t="s">
        <v>33</v>
      </c>
      <c r="B43" s="126" t="s">
        <v>34</v>
      </c>
      <c r="C43" s="126" t="s">
        <v>210</v>
      </c>
      <c r="D43" s="126" t="s">
        <v>50</v>
      </c>
      <c r="E43" s="127">
        <f>+'Servizio Ferroviario'!L14</f>
        <v>0</v>
      </c>
      <c r="F43" s="128"/>
    </row>
    <row r="44" spans="1:6" ht="33.75" customHeight="1" x14ac:dyDescent="0.25">
      <c r="A44" s="125" t="s">
        <v>33</v>
      </c>
      <c r="B44" s="126" t="s">
        <v>34</v>
      </c>
      <c r="C44" s="126" t="s">
        <v>196</v>
      </c>
      <c r="D44" s="126" t="s">
        <v>50</v>
      </c>
      <c r="E44" s="127">
        <f>+'Servizio Ferroviario'!L15</f>
        <v>1864.1664000000001</v>
      </c>
      <c r="F44" s="128"/>
    </row>
    <row r="45" spans="1:6" ht="33.75" customHeight="1" x14ac:dyDescent="0.25">
      <c r="A45" s="125" t="s">
        <v>33</v>
      </c>
      <c r="B45" s="126" t="s">
        <v>34</v>
      </c>
      <c r="C45" s="126" t="s">
        <v>197</v>
      </c>
      <c r="D45" s="126" t="s">
        <v>50</v>
      </c>
      <c r="E45" s="127">
        <f>+'Servizio Ferroviario'!L16</f>
        <v>10770.739200000002</v>
      </c>
      <c r="F45" s="128"/>
    </row>
    <row r="46" spans="1:6" ht="33.75" customHeight="1" x14ac:dyDescent="0.25">
      <c r="A46" s="125" t="s">
        <v>33</v>
      </c>
      <c r="B46" s="126" t="s">
        <v>34</v>
      </c>
      <c r="C46" s="126" t="s">
        <v>211</v>
      </c>
      <c r="D46" s="126" t="s">
        <v>50</v>
      </c>
      <c r="E46" s="127">
        <f>+'Servizio Ferroviario'!L17</f>
        <v>0</v>
      </c>
      <c r="F46" s="128"/>
    </row>
    <row r="47" spans="1:6" ht="33.75" customHeight="1" x14ac:dyDescent="0.25">
      <c r="A47" s="125" t="s">
        <v>33</v>
      </c>
      <c r="B47" s="126" t="s">
        <v>34</v>
      </c>
      <c r="C47" s="126" t="s">
        <v>213</v>
      </c>
      <c r="D47" s="126" t="s">
        <v>50</v>
      </c>
      <c r="E47" s="127">
        <f>+'Servizio Ferroviario'!L18</f>
        <v>2243.904</v>
      </c>
      <c r="F47" s="128"/>
    </row>
    <row r="48" spans="1:6" ht="33.75" customHeight="1" x14ac:dyDescent="0.25">
      <c r="A48" s="125" t="s">
        <v>33</v>
      </c>
      <c r="B48" s="126" t="s">
        <v>34</v>
      </c>
      <c r="C48" s="126" t="s">
        <v>215</v>
      </c>
      <c r="D48" s="126" t="s">
        <v>50</v>
      </c>
      <c r="E48" s="127">
        <f>+'Servizio Ferroviario'!L19</f>
        <v>14360.9856</v>
      </c>
      <c r="F48" s="128"/>
    </row>
    <row r="49" spans="1:6" ht="33.75" customHeight="1" x14ac:dyDescent="0.25">
      <c r="A49" s="125" t="s">
        <v>33</v>
      </c>
      <c r="B49" s="126" t="s">
        <v>34</v>
      </c>
      <c r="C49" s="126" t="s">
        <v>212</v>
      </c>
      <c r="D49" s="126" t="s">
        <v>50</v>
      </c>
      <c r="E49" s="127">
        <f>+'Servizio Ferroviario'!L20</f>
        <v>0</v>
      </c>
      <c r="F49" s="128"/>
    </row>
    <row r="50" spans="1:6" ht="33.75" customHeight="1" x14ac:dyDescent="0.25">
      <c r="A50" s="125" t="s">
        <v>33</v>
      </c>
      <c r="B50" s="126" t="s">
        <v>34</v>
      </c>
      <c r="C50" s="126" t="s">
        <v>214</v>
      </c>
      <c r="D50" s="126" t="s">
        <v>50</v>
      </c>
      <c r="E50" s="127">
        <f>+'Servizio Ferroviario'!L21</f>
        <v>2589.12</v>
      </c>
      <c r="F50" s="128"/>
    </row>
    <row r="51" spans="1:6" ht="33.75" customHeight="1" x14ac:dyDescent="0.25">
      <c r="A51" s="125" t="s">
        <v>33</v>
      </c>
      <c r="B51" s="126" t="s">
        <v>34</v>
      </c>
      <c r="C51" s="126" t="s">
        <v>216</v>
      </c>
      <c r="D51" s="126" t="s">
        <v>50</v>
      </c>
      <c r="E51" s="127">
        <f>+'Servizio Ferroviario'!L22</f>
        <v>25891.200000000001</v>
      </c>
      <c r="F51" s="128"/>
    </row>
    <row r="52" spans="1:6" ht="33.75" customHeight="1" x14ac:dyDescent="0.25">
      <c r="A52" s="125" t="s">
        <v>33</v>
      </c>
      <c r="B52" s="126" t="s">
        <v>34</v>
      </c>
      <c r="C52" s="126" t="s">
        <v>107</v>
      </c>
      <c r="D52" s="126" t="s">
        <v>50</v>
      </c>
      <c r="E52" s="127">
        <f>+'Servizio Ferroviario'!L23</f>
        <v>19418.400000000001</v>
      </c>
      <c r="F52" s="128"/>
    </row>
    <row r="53" spans="1:6" ht="33.75" customHeight="1" x14ac:dyDescent="0.25">
      <c r="A53" s="125" t="s">
        <v>33</v>
      </c>
      <c r="B53" s="126" t="s">
        <v>34</v>
      </c>
      <c r="C53" s="126" t="s">
        <v>234</v>
      </c>
      <c r="D53" s="126" t="s">
        <v>50</v>
      </c>
      <c r="E53" s="127">
        <f>+'Servizio Ferroviario'!L25</f>
        <v>9709.2000000000007</v>
      </c>
      <c r="F53" s="128"/>
    </row>
    <row r="54" spans="1:6" ht="33.75" customHeight="1" x14ac:dyDescent="0.25">
      <c r="A54" s="125" t="s">
        <v>33</v>
      </c>
      <c r="B54" s="126" t="s">
        <v>34</v>
      </c>
      <c r="C54" s="126" t="s">
        <v>235</v>
      </c>
      <c r="D54" s="126" t="s">
        <v>50</v>
      </c>
      <c r="E54" s="127">
        <f>+'Servizio Ferroviario'!L26</f>
        <v>4854.6000000000004</v>
      </c>
      <c r="F54" s="128"/>
    </row>
    <row r="55" spans="1:6" ht="33.75" customHeight="1" x14ac:dyDescent="0.25">
      <c r="A55" s="125" t="s">
        <v>33</v>
      </c>
      <c r="B55" s="126" t="s">
        <v>34</v>
      </c>
      <c r="C55" s="126" t="s">
        <v>57</v>
      </c>
      <c r="D55" s="126" t="s">
        <v>50</v>
      </c>
      <c r="E55" s="127">
        <f>+'Servizio Ferroviario'!L27</f>
        <v>10788</v>
      </c>
      <c r="F55" s="128"/>
    </row>
    <row r="56" spans="1:6" ht="33.75" customHeight="1" thickBot="1" x14ac:dyDescent="0.3">
      <c r="A56" s="125" t="s">
        <v>33</v>
      </c>
      <c r="B56" s="126" t="s">
        <v>34</v>
      </c>
      <c r="C56" s="126" t="s">
        <v>58</v>
      </c>
      <c r="D56" s="126" t="s">
        <v>50</v>
      </c>
      <c r="E56" s="127">
        <f>+'Servizio Ferroviario'!L28</f>
        <v>10356.48</v>
      </c>
      <c r="F56" s="128"/>
    </row>
    <row r="57" spans="1:6" ht="33.75" customHeight="1" thickBot="1" x14ac:dyDescent="0.3">
      <c r="A57" s="131" t="s">
        <v>33</v>
      </c>
      <c r="B57" s="132" t="s">
        <v>34</v>
      </c>
      <c r="C57" s="132" t="s">
        <v>232</v>
      </c>
      <c r="D57" s="132" t="s">
        <v>48</v>
      </c>
      <c r="E57" s="64">
        <f>+'Impianti Fissi'!K18</f>
        <v>194184</v>
      </c>
      <c r="F57" s="134">
        <f>SUM(E34:E57)</f>
        <v>613927.81920000003</v>
      </c>
    </row>
    <row r="58" spans="1:6" ht="33.75" customHeight="1" x14ac:dyDescent="0.25">
      <c r="A58" s="120" t="s">
        <v>35</v>
      </c>
      <c r="B58" s="121" t="s">
        <v>36</v>
      </c>
      <c r="C58" s="121" t="str">
        <f>+C34</f>
        <v>Pulizia Rotabili RADICALE con Sanitizzazioni AT 300</v>
      </c>
      <c r="D58" s="121" t="s">
        <v>50</v>
      </c>
      <c r="E58" s="122">
        <f>+'Servizio Ferroviario'!G5</f>
        <v>970.92000000000007</v>
      </c>
      <c r="F58" s="124"/>
    </row>
    <row r="59" spans="1:6" ht="33.75" customHeight="1" x14ac:dyDescent="0.25">
      <c r="A59" s="135" t="s">
        <v>35</v>
      </c>
      <c r="B59" s="136" t="s">
        <v>36</v>
      </c>
      <c r="C59" s="136" t="str">
        <f t="shared" ref="C59:C75" si="0">+C35</f>
        <v>Pulizia Rotabili RADICALE con Sanitizzazioni udt SB</v>
      </c>
      <c r="D59" s="136" t="s">
        <v>50</v>
      </c>
      <c r="E59" s="137">
        <f>+'Servizio Ferroviario'!G6</f>
        <v>863.04</v>
      </c>
      <c r="F59" s="128"/>
    </row>
    <row r="60" spans="1:6" ht="33.75" customHeight="1" x14ac:dyDescent="0.25">
      <c r="A60" s="135" t="s">
        <v>35</v>
      </c>
      <c r="B60" s="136" t="s">
        <v>36</v>
      </c>
      <c r="C60" s="136" t="str">
        <f t="shared" si="0"/>
        <v>Pulizia Rotabili RADICALE con Sanitizzazioni Stadler ST-SBT</v>
      </c>
      <c r="D60" s="136" t="s">
        <v>50</v>
      </c>
      <c r="E60" s="137">
        <f>+'Servizio Ferroviario'!G7</f>
        <v>5178.24</v>
      </c>
      <c r="F60" s="128"/>
    </row>
    <row r="61" spans="1:6" ht="33.75" customHeight="1" x14ac:dyDescent="0.25">
      <c r="A61" s="135" t="s">
        <v>35</v>
      </c>
      <c r="B61" s="136" t="s">
        <v>36</v>
      </c>
      <c r="C61" s="136" t="str">
        <f t="shared" si="0"/>
        <v>Pulizia Rotabili NORMALE AT 300</v>
      </c>
      <c r="D61" s="136" t="s">
        <v>50</v>
      </c>
      <c r="E61" s="137">
        <f>+'Servizio Ferroviario'!G8</f>
        <v>8414.64</v>
      </c>
      <c r="F61" s="128"/>
    </row>
    <row r="62" spans="1:6" ht="33.75" customHeight="1" x14ac:dyDescent="0.25">
      <c r="A62" s="135" t="s">
        <v>35</v>
      </c>
      <c r="B62" s="136" t="s">
        <v>36</v>
      </c>
      <c r="C62" s="136" t="str">
        <f t="shared" si="0"/>
        <v>Pulizia Rotabili NORMALE udt SB</v>
      </c>
      <c r="D62" s="136" t="s">
        <v>50</v>
      </c>
      <c r="E62" s="137">
        <f>+'Servizio Ferroviario'!G9</f>
        <v>6731.7120000000004</v>
      </c>
      <c r="F62" s="128"/>
    </row>
    <row r="63" spans="1:6" ht="33.75" customHeight="1" x14ac:dyDescent="0.25">
      <c r="A63" s="135" t="s">
        <v>35</v>
      </c>
      <c r="B63" s="126" t="s">
        <v>36</v>
      </c>
      <c r="C63" s="138" t="str">
        <f t="shared" si="0"/>
        <v>Pulizia Rotabili NORMALE Stadler ST-SBT</v>
      </c>
      <c r="D63" s="136" t="s">
        <v>50</v>
      </c>
      <c r="E63" s="137">
        <f>+'Servizio Ferroviario'!G10</f>
        <v>50487.840000000004</v>
      </c>
      <c r="F63" s="128"/>
    </row>
    <row r="64" spans="1:6" ht="33.75" customHeight="1" x14ac:dyDescent="0.25">
      <c r="A64" s="125" t="s">
        <v>35</v>
      </c>
      <c r="B64" s="126" t="s">
        <v>36</v>
      </c>
      <c r="C64" s="138" t="str">
        <f t="shared" si="0"/>
        <v>Pulizia Rotabili  SOMMARIA AT 300</v>
      </c>
      <c r="D64" s="136" t="s">
        <v>50</v>
      </c>
      <c r="E64" s="137">
        <f>+'Servizio Ferroviario'!G11</f>
        <v>0</v>
      </c>
      <c r="F64" s="128"/>
    </row>
    <row r="65" spans="1:6" ht="33.75" customHeight="1" x14ac:dyDescent="0.25">
      <c r="A65" s="125" t="s">
        <v>35</v>
      </c>
      <c r="B65" s="126" t="s">
        <v>36</v>
      </c>
      <c r="C65" s="138" t="str">
        <f t="shared" si="0"/>
        <v>Pulizia Rotabili  SOMMARIA udt SB</v>
      </c>
      <c r="D65" s="136" t="s">
        <v>50</v>
      </c>
      <c r="E65" s="137">
        <f>+'Servizio Ferroviario'!G12</f>
        <v>3883.6800000000003</v>
      </c>
      <c r="F65" s="128"/>
    </row>
    <row r="66" spans="1:6" ht="33.75" customHeight="1" x14ac:dyDescent="0.25">
      <c r="A66" s="125" t="s">
        <v>35</v>
      </c>
      <c r="B66" s="126" t="s">
        <v>36</v>
      </c>
      <c r="C66" s="138" t="str">
        <f t="shared" si="0"/>
        <v>Pulizia Rotabili  SOMMARIA Stadler ST-SBT</v>
      </c>
      <c r="D66" s="136" t="s">
        <v>50</v>
      </c>
      <c r="E66" s="137">
        <f>+'Servizio Ferroviario'!G13</f>
        <v>25891.200000000001</v>
      </c>
      <c r="F66" s="128"/>
    </row>
    <row r="67" spans="1:6" ht="33.75" customHeight="1" x14ac:dyDescent="0.25">
      <c r="A67" s="125" t="s">
        <v>35</v>
      </c>
      <c r="B67" s="126" t="s">
        <v>36</v>
      </c>
      <c r="C67" s="138" t="str">
        <f t="shared" si="0"/>
        <v>Lavaggio Cassa AT 300</v>
      </c>
      <c r="D67" s="136" t="s">
        <v>50</v>
      </c>
      <c r="E67" s="137">
        <f>+'Servizio Ferroviario'!G14</f>
        <v>0</v>
      </c>
      <c r="F67" s="128"/>
    </row>
    <row r="68" spans="1:6" ht="33.75" customHeight="1" x14ac:dyDescent="0.25">
      <c r="A68" s="125" t="s">
        <v>35</v>
      </c>
      <c r="B68" s="126" t="s">
        <v>36</v>
      </c>
      <c r="C68" s="138" t="str">
        <f t="shared" si="0"/>
        <v>Lavaggio Cassa udt SB</v>
      </c>
      <c r="D68" s="136" t="s">
        <v>50</v>
      </c>
      <c r="E68" s="137">
        <f>+'Servizio Ferroviario'!G15</f>
        <v>466.04160000000002</v>
      </c>
      <c r="F68" s="128"/>
    </row>
    <row r="69" spans="1:6" ht="33.75" customHeight="1" x14ac:dyDescent="0.25">
      <c r="A69" s="125" t="s">
        <v>35</v>
      </c>
      <c r="B69" s="126" t="s">
        <v>36</v>
      </c>
      <c r="C69" s="139" t="str">
        <f t="shared" si="0"/>
        <v>Lavaggio Cassa Stadler ST-SBT</v>
      </c>
      <c r="D69" s="126" t="s">
        <v>50</v>
      </c>
      <c r="E69" s="127">
        <f>+'Servizio Ferroviario'!G16</f>
        <v>3365.8560000000002</v>
      </c>
      <c r="F69" s="128"/>
    </row>
    <row r="70" spans="1:6" ht="33.75" customHeight="1" x14ac:dyDescent="0.25">
      <c r="A70" s="125" t="s">
        <v>35</v>
      </c>
      <c r="B70" s="126" t="s">
        <v>36</v>
      </c>
      <c r="C70" s="138" t="str">
        <f t="shared" si="0"/>
        <v>Lavaggio Pavimenti AT 300</v>
      </c>
      <c r="D70" s="136" t="s">
        <v>50</v>
      </c>
      <c r="E70" s="137">
        <f>+'Servizio Ferroviario'!G17</f>
        <v>841.46400000000006</v>
      </c>
      <c r="F70" s="128"/>
    </row>
    <row r="71" spans="1:6" ht="33.75" customHeight="1" x14ac:dyDescent="0.25">
      <c r="A71" s="125" t="s">
        <v>35</v>
      </c>
      <c r="B71" s="126" t="s">
        <v>36</v>
      </c>
      <c r="C71" s="139" t="str">
        <f t="shared" si="0"/>
        <v>Lavaggio Pavimenti udt SB</v>
      </c>
      <c r="D71" s="126" t="s">
        <v>50</v>
      </c>
      <c r="E71" s="127">
        <f>+'Servizio Ferroviario'!G18</f>
        <v>560.976</v>
      </c>
      <c r="F71" s="128"/>
    </row>
    <row r="72" spans="1:6" ht="33.75" customHeight="1" x14ac:dyDescent="0.25">
      <c r="A72" s="125" t="s">
        <v>35</v>
      </c>
      <c r="B72" s="126" t="s">
        <v>36</v>
      </c>
      <c r="C72" s="138" t="str">
        <f t="shared" si="0"/>
        <v>Lavaggio Pavimenti Stadler ST-SB</v>
      </c>
      <c r="D72" s="136" t="s">
        <v>50</v>
      </c>
      <c r="E72" s="137">
        <f>+'Servizio Ferroviario'!G19</f>
        <v>4487.808</v>
      </c>
      <c r="F72" s="128"/>
    </row>
    <row r="73" spans="1:6" ht="33.75" customHeight="1" x14ac:dyDescent="0.25">
      <c r="A73" s="125" t="s">
        <v>35</v>
      </c>
      <c r="B73" s="126" t="s">
        <v>36</v>
      </c>
      <c r="C73" s="138" t="str">
        <f t="shared" si="0"/>
        <v>Pulizia Volante Rapida AT 300</v>
      </c>
      <c r="D73" s="136" t="s">
        <v>50</v>
      </c>
      <c r="E73" s="137">
        <f>+'Servizio Ferroviario'!G20</f>
        <v>970.92000000000007</v>
      </c>
      <c r="F73" s="128"/>
    </row>
    <row r="74" spans="1:6" ht="33.75" customHeight="1" x14ac:dyDescent="0.25">
      <c r="A74" s="125" t="s">
        <v>35</v>
      </c>
      <c r="B74" s="126" t="s">
        <v>36</v>
      </c>
      <c r="C74" s="136" t="str">
        <f t="shared" si="0"/>
        <v>Pulizia Volante Rapida udt SB</v>
      </c>
      <c r="D74" s="136" t="s">
        <v>50</v>
      </c>
      <c r="E74" s="137">
        <f>+'Servizio Ferroviario'!G21</f>
        <v>647.28</v>
      </c>
      <c r="F74" s="128"/>
    </row>
    <row r="75" spans="1:6" ht="33.75" customHeight="1" x14ac:dyDescent="0.25">
      <c r="A75" s="135" t="s">
        <v>35</v>
      </c>
      <c r="B75" s="136" t="s">
        <v>36</v>
      </c>
      <c r="C75" s="136" t="str">
        <f t="shared" si="0"/>
        <v>Pulizia Volante Rapida Stadler ST-SB</v>
      </c>
      <c r="D75" s="136" t="s">
        <v>50</v>
      </c>
      <c r="E75" s="137">
        <f>+'Servizio Ferroviario'!G22</f>
        <v>8091</v>
      </c>
      <c r="F75" s="128"/>
    </row>
    <row r="76" spans="1:6" ht="33.75" customHeight="1" x14ac:dyDescent="0.25">
      <c r="A76" s="140" t="s">
        <v>35</v>
      </c>
      <c r="B76" s="138" t="s">
        <v>36</v>
      </c>
      <c r="C76" s="136" t="str">
        <f>+C55</f>
        <v xml:space="preserve">Pulizia Pezzi sciolti </v>
      </c>
      <c r="D76" s="136" t="s">
        <v>50</v>
      </c>
      <c r="E76" s="137">
        <f>+'Servizio Ferroviario'!G27</f>
        <v>0</v>
      </c>
      <c r="F76" s="128"/>
    </row>
    <row r="77" spans="1:6" ht="33.75" customHeight="1" x14ac:dyDescent="0.25">
      <c r="A77" s="140" t="s">
        <v>35</v>
      </c>
      <c r="B77" s="138" t="s">
        <v>36</v>
      </c>
      <c r="C77" s="136" t="str">
        <f>'Servizio Ferroviario'!A24</f>
        <v>Pulizia Rotabili SOMMARIA Genzano</v>
      </c>
      <c r="D77" s="136" t="s">
        <v>50</v>
      </c>
      <c r="E77" s="137">
        <f>+'Servizio Ferroviario'!G24</f>
        <v>9709.2000000000007</v>
      </c>
      <c r="F77" s="128"/>
    </row>
    <row r="78" spans="1:6" ht="33.75" customHeight="1" x14ac:dyDescent="0.25">
      <c r="A78" s="125" t="s">
        <v>35</v>
      </c>
      <c r="B78" s="136" t="s">
        <v>36</v>
      </c>
      <c r="C78" s="136" t="str">
        <f>+C56</f>
        <v xml:space="preserve">Rifornimento Rotabili </v>
      </c>
      <c r="D78" s="136" t="s">
        <v>50</v>
      </c>
      <c r="E78" s="137">
        <f>+'Servizio Ferroviario'!G28</f>
        <v>6472.8</v>
      </c>
      <c r="F78" s="128"/>
    </row>
    <row r="79" spans="1:6" ht="33.75" customHeight="1" thickBot="1" x14ac:dyDescent="0.3">
      <c r="A79" s="136" t="s">
        <v>35</v>
      </c>
      <c r="B79" s="136" t="s">
        <v>36</v>
      </c>
      <c r="C79" s="136" t="s">
        <v>232</v>
      </c>
      <c r="D79" s="136" t="s">
        <v>48</v>
      </c>
      <c r="E79" s="235">
        <f>+'Impianti Fissi'!J19</f>
        <v>55018.8</v>
      </c>
      <c r="F79" s="128"/>
    </row>
    <row r="80" spans="1:6" ht="33.75" customHeight="1" thickBot="1" x14ac:dyDescent="0.3">
      <c r="A80" s="131" t="s">
        <v>35</v>
      </c>
      <c r="B80" s="132" t="s">
        <v>36</v>
      </c>
      <c r="C80" s="132" t="s">
        <v>233</v>
      </c>
      <c r="D80" s="132" t="s">
        <v>48</v>
      </c>
      <c r="E80" s="64">
        <f>+'Impianti Fissi'!J20</f>
        <v>3236.4</v>
      </c>
      <c r="F80" s="134">
        <f>SUM(E58:E80)</f>
        <v>196289.81759999998</v>
      </c>
    </row>
    <row r="81" spans="1:6" ht="33.75" customHeight="1" x14ac:dyDescent="0.25">
      <c r="A81" s="141" t="s">
        <v>37</v>
      </c>
      <c r="B81" s="136" t="s">
        <v>38</v>
      </c>
      <c r="C81" s="136" t="str">
        <f>+'Stazioni Varie'!B19</f>
        <v>Stazione di Avigliano Città</v>
      </c>
      <c r="D81" s="136" t="s">
        <v>48</v>
      </c>
      <c r="E81" s="137">
        <f>+'Stazioni Varie'!J19</f>
        <v>12298.32</v>
      </c>
      <c r="F81" s="128"/>
    </row>
    <row r="82" spans="1:6" ht="33.75" customHeight="1" x14ac:dyDescent="0.25">
      <c r="A82" s="142" t="s">
        <v>37</v>
      </c>
      <c r="B82" s="126" t="s">
        <v>38</v>
      </c>
      <c r="C82" s="136" t="str">
        <f>+'Stazioni Varie'!B20</f>
        <v>Stazione di Avigliano Lucania</v>
      </c>
      <c r="D82" s="126" t="s">
        <v>48</v>
      </c>
      <c r="E82" s="137">
        <f>+'Stazioni Varie'!J20</f>
        <v>1726.08</v>
      </c>
      <c r="F82" s="128"/>
    </row>
    <row r="83" spans="1:6" ht="33.75" customHeight="1" x14ac:dyDescent="0.25">
      <c r="A83" s="142" t="s">
        <v>37</v>
      </c>
      <c r="B83" s="126" t="s">
        <v>38</v>
      </c>
      <c r="C83" s="136" t="str">
        <f>+'Stazioni Varie'!B21</f>
        <v>Stazione di Genzano</v>
      </c>
      <c r="D83" s="126" t="s">
        <v>48</v>
      </c>
      <c r="E83" s="137">
        <f>+'Stazioni Varie'!J21</f>
        <v>5609.76</v>
      </c>
      <c r="F83" s="128"/>
    </row>
    <row r="84" spans="1:6" ht="33.75" customHeight="1" x14ac:dyDescent="0.25">
      <c r="A84" s="142" t="s">
        <v>37</v>
      </c>
      <c r="B84" s="126" t="s">
        <v>38</v>
      </c>
      <c r="C84" s="136" t="str">
        <f>+'Stazioni Varie'!B22</f>
        <v>Stazione di Potenza Città</v>
      </c>
      <c r="D84" s="126" t="s">
        <v>48</v>
      </c>
      <c r="E84" s="137">
        <f>+'Stazioni Varie'!J22</f>
        <v>9061.92</v>
      </c>
      <c r="F84" s="128"/>
    </row>
    <row r="85" spans="1:6" ht="33.75" customHeight="1" x14ac:dyDescent="0.25">
      <c r="A85" s="142" t="s">
        <v>37</v>
      </c>
      <c r="B85" s="126" t="s">
        <v>38</v>
      </c>
      <c r="C85" s="136" t="str">
        <f>+'Stazioni Varie'!B23</f>
        <v>Fermata di Potenza Inferiore</v>
      </c>
      <c r="D85" s="126" t="s">
        <v>48</v>
      </c>
      <c r="E85" s="137">
        <f>+'Stazioni Varie'!J23</f>
        <v>1575.048</v>
      </c>
      <c r="F85" s="128"/>
    </row>
    <row r="86" spans="1:6" ht="33.75" customHeight="1" x14ac:dyDescent="0.25">
      <c r="A86" s="142" t="s">
        <v>37</v>
      </c>
      <c r="B86" s="126" t="s">
        <v>38</v>
      </c>
      <c r="C86" s="136" t="str">
        <f>+'Stazioni Varie'!B24</f>
        <v>Stazione di Potenza Scalo</v>
      </c>
      <c r="D86" s="126" t="s">
        <v>48</v>
      </c>
      <c r="E86" s="137">
        <f>+'Stazioni Varie'!J24</f>
        <v>7767.3600000000006</v>
      </c>
      <c r="F86" s="128"/>
    </row>
    <row r="87" spans="1:6" ht="33.75" customHeight="1" x14ac:dyDescent="0.25">
      <c r="A87" s="142" t="s">
        <v>37</v>
      </c>
      <c r="B87" s="126" t="s">
        <v>38</v>
      </c>
      <c r="C87" s="136" t="str">
        <f>+'Stazioni Varie'!B25</f>
        <v>Stazione di Potenza S. Maria</v>
      </c>
      <c r="D87" s="126" t="s">
        <v>48</v>
      </c>
      <c r="E87" s="137">
        <f>+'Stazioni Varie'!J25</f>
        <v>7767.3600000000006</v>
      </c>
      <c r="F87" s="128"/>
    </row>
    <row r="88" spans="1:6" ht="33.75" customHeight="1" x14ac:dyDescent="0.25">
      <c r="A88" s="142" t="s">
        <v>37</v>
      </c>
      <c r="B88" s="126" t="s">
        <v>38</v>
      </c>
      <c r="C88" s="136" t="str">
        <f>+'Stazioni Varie'!B26</f>
        <v>Fermata di Potenza S. Rocco</v>
      </c>
      <c r="D88" s="126" t="s">
        <v>48</v>
      </c>
      <c r="E88" s="137">
        <f>+'Stazioni Varie'!J26</f>
        <v>1557.0679999999998</v>
      </c>
      <c r="F88" s="128"/>
    </row>
    <row r="89" spans="1:6" ht="33.75" customHeight="1" x14ac:dyDescent="0.25">
      <c r="A89" s="142" t="s">
        <v>37</v>
      </c>
      <c r="B89" s="126" t="s">
        <v>38</v>
      </c>
      <c r="C89" s="136" t="str">
        <f>+'Stazioni Varie'!B27</f>
        <v>Stazione di Potenza Moccaro</v>
      </c>
      <c r="D89" s="126" t="s">
        <v>48</v>
      </c>
      <c r="E89" s="137">
        <f>+'Stazioni Varie'!J27</f>
        <v>1557.0679999999998</v>
      </c>
      <c r="F89" s="128"/>
    </row>
    <row r="90" spans="1:6" ht="33.75" customHeight="1" x14ac:dyDescent="0.25">
      <c r="A90" s="142" t="s">
        <v>37</v>
      </c>
      <c r="B90" s="126" t="s">
        <v>38</v>
      </c>
      <c r="C90" s="136" t="str">
        <f>+'Stazioni Varie'!B28</f>
        <v>San Nicola</v>
      </c>
      <c r="D90" s="126" t="s">
        <v>48</v>
      </c>
      <c r="E90" s="137">
        <f>+'Stazioni Varie'!J28</f>
        <v>258.91200000000003</v>
      </c>
      <c r="F90" s="128"/>
    </row>
    <row r="91" spans="1:6" ht="33.75" customHeight="1" x14ac:dyDescent="0.25">
      <c r="A91" s="142" t="s">
        <v>37</v>
      </c>
      <c r="B91" s="126" t="s">
        <v>38</v>
      </c>
      <c r="C91" s="136" t="str">
        <f>+'Stazioni Varie'!B29</f>
        <v>Pietragalla</v>
      </c>
      <c r="D91" s="126" t="s">
        <v>48</v>
      </c>
      <c r="E91" s="137">
        <f>+'Stazioni Varie'!J29</f>
        <v>258.91200000000003</v>
      </c>
      <c r="F91" s="128"/>
    </row>
    <row r="92" spans="1:6" ht="33.75" customHeight="1" x14ac:dyDescent="0.25">
      <c r="A92" s="142" t="s">
        <v>37</v>
      </c>
      <c r="B92" s="126" t="s">
        <v>38</v>
      </c>
      <c r="C92" s="136" t="str">
        <f>+'Stazioni Varie'!B30</f>
        <v>Acerenza</v>
      </c>
      <c r="D92" s="126" t="s">
        <v>48</v>
      </c>
      <c r="E92" s="137">
        <f>+'Stazioni Varie'!J30</f>
        <v>258.91200000000003</v>
      </c>
      <c r="F92" s="128"/>
    </row>
    <row r="93" spans="1:6" ht="33.75" customHeight="1" thickBot="1" x14ac:dyDescent="0.3">
      <c r="A93" s="142" t="s">
        <v>37</v>
      </c>
      <c r="B93" s="126" t="s">
        <v>38</v>
      </c>
      <c r="C93" s="147" t="s">
        <v>231</v>
      </c>
      <c r="D93" s="215" t="s">
        <v>48</v>
      </c>
      <c r="E93" s="216">
        <f>+'Stazioni Varie'!J31</f>
        <v>388.36799999999999</v>
      </c>
      <c r="F93" s="128"/>
    </row>
    <row r="94" spans="1:6" ht="33.75" customHeight="1" thickBot="1" x14ac:dyDescent="0.3">
      <c r="A94" s="143" t="s">
        <v>37</v>
      </c>
      <c r="B94" s="144" t="s">
        <v>38</v>
      </c>
      <c r="C94" s="144" t="str">
        <f>+'Stazioni Varie'!B33</f>
        <v>Terminal di Gallitello Potenza</v>
      </c>
      <c r="D94" s="144" t="s">
        <v>48</v>
      </c>
      <c r="E94" s="145">
        <f>+'Stazioni Varie'!J33</f>
        <v>9061.92</v>
      </c>
      <c r="F94" s="134">
        <f>SUM(E81:E94)</f>
        <v>59147.007999999987</v>
      </c>
    </row>
    <row r="95" spans="1:6" ht="33.75" customHeight="1" x14ac:dyDescent="0.25">
      <c r="A95" s="135" t="s">
        <v>39</v>
      </c>
      <c r="B95" s="136" t="s">
        <v>40</v>
      </c>
      <c r="C95" s="136" t="str">
        <f>+'Stazioni Varie'!B6</f>
        <v>Stazione di Bari Centrale - pulizia e presidio</v>
      </c>
      <c r="D95" s="136" t="s">
        <v>48</v>
      </c>
      <c r="E95" s="137">
        <f>+'Stazioni Varie'!J6</f>
        <v>38836.800000000003</v>
      </c>
      <c r="F95" s="236"/>
    </row>
    <row r="96" spans="1:6" ht="33.75" customHeight="1" x14ac:dyDescent="0.25">
      <c r="A96" s="135" t="s">
        <v>39</v>
      </c>
      <c r="B96" s="136" t="s">
        <v>40</v>
      </c>
      <c r="C96" s="136" t="str">
        <f>+'Stazioni Varie'!B7</f>
        <v>Stazione di Altamura</v>
      </c>
      <c r="D96" s="136" t="s">
        <v>48</v>
      </c>
      <c r="E96" s="137">
        <f>+'Stazioni Varie'!J7</f>
        <v>29343.360000000001</v>
      </c>
      <c r="F96" s="128"/>
    </row>
    <row r="97" spans="1:6" ht="33.75" customHeight="1" x14ac:dyDescent="0.25">
      <c r="A97" s="125" t="s">
        <v>39</v>
      </c>
      <c r="B97" s="126" t="s">
        <v>40</v>
      </c>
      <c r="C97" s="136" t="str">
        <f>+'Stazioni Varie'!B8</f>
        <v>Stazione di Binetto</v>
      </c>
      <c r="D97" s="126" t="s">
        <v>48</v>
      </c>
      <c r="E97" s="137">
        <f>+'Stazioni Varie'!J8</f>
        <v>4315.2</v>
      </c>
      <c r="F97" s="128"/>
    </row>
    <row r="98" spans="1:6" ht="33.75" customHeight="1" x14ac:dyDescent="0.25">
      <c r="A98" s="125" t="s">
        <v>39</v>
      </c>
      <c r="B98" s="126" t="s">
        <v>40</v>
      </c>
      <c r="C98" s="136" t="str">
        <f>+'Stazioni Varie'!B9</f>
        <v>Stazione di Gravina</v>
      </c>
      <c r="D98" s="126" t="s">
        <v>48</v>
      </c>
      <c r="E98" s="137">
        <f>+'Stazioni Varie'!J9</f>
        <v>24165.119999999999</v>
      </c>
      <c r="F98" s="128"/>
    </row>
    <row r="99" spans="1:6" ht="33.75" customHeight="1" x14ac:dyDescent="0.25">
      <c r="A99" s="125" t="s">
        <v>39</v>
      </c>
      <c r="B99" s="126" t="s">
        <v>40</v>
      </c>
      <c r="C99" s="136" t="str">
        <f>+'Stazioni Varie'!B10</f>
        <v>Stazione di Grumo Appula</v>
      </c>
      <c r="D99" s="126" t="s">
        <v>48</v>
      </c>
      <c r="E99" s="137">
        <f>+'Stazioni Varie'!J10</f>
        <v>4315.2</v>
      </c>
      <c r="F99" s="128"/>
    </row>
    <row r="100" spans="1:6" ht="33.75" customHeight="1" x14ac:dyDescent="0.25">
      <c r="A100" s="125" t="s">
        <v>39</v>
      </c>
      <c r="B100" s="126" t="s">
        <v>40</v>
      </c>
      <c r="C100" s="136" t="str">
        <f>+'Stazioni Varie'!B11</f>
        <v>Stazione di Matera Centrale</v>
      </c>
      <c r="D100" s="126" t="s">
        <v>48</v>
      </c>
      <c r="E100" s="137">
        <f>+'Stazioni Varie'!J11</f>
        <v>20712.96</v>
      </c>
      <c r="F100" s="128"/>
    </row>
    <row r="101" spans="1:6" ht="33.75" customHeight="1" x14ac:dyDescent="0.25">
      <c r="A101" s="125" t="s">
        <v>39</v>
      </c>
      <c r="B101" s="126" t="s">
        <v>40</v>
      </c>
      <c r="C101" s="136" t="str">
        <f>+'Stazioni Varie'!B12</f>
        <v>Stazione di Matera - Servizio di Presidio</v>
      </c>
      <c r="D101" s="126" t="s">
        <v>48</v>
      </c>
      <c r="E101" s="137">
        <f>+'Stazioni Varie'!J12</f>
        <v>38836.800000000003</v>
      </c>
      <c r="F101" s="128"/>
    </row>
    <row r="102" spans="1:6" ht="33.75" customHeight="1" x14ac:dyDescent="0.25">
      <c r="A102" s="125" t="s">
        <v>39</v>
      </c>
      <c r="B102" s="126" t="s">
        <v>40</v>
      </c>
      <c r="C102" s="136" t="str">
        <f>+'Stazioni Varie'!B13</f>
        <v>Stazione di Matera Sud</v>
      </c>
      <c r="D102" s="126" t="s">
        <v>48</v>
      </c>
      <c r="E102" s="137">
        <f>+'Stazioni Varie'!J13</f>
        <v>22007.52</v>
      </c>
      <c r="F102" s="128"/>
    </row>
    <row r="103" spans="1:6" ht="33.75" customHeight="1" x14ac:dyDescent="0.25">
      <c r="A103" s="125" t="s">
        <v>39</v>
      </c>
      <c r="B103" s="126" t="s">
        <v>40</v>
      </c>
      <c r="C103" s="136" t="str">
        <f>+'Stazioni Varie'!B14</f>
        <v>Stazione di Matera Villa Longo</v>
      </c>
      <c r="D103" s="126" t="s">
        <v>48</v>
      </c>
      <c r="E103" s="137">
        <f>+'Stazioni Varie'!J14</f>
        <v>20712.96</v>
      </c>
      <c r="F103" s="128"/>
    </row>
    <row r="104" spans="1:6" ht="33.75" customHeight="1" x14ac:dyDescent="0.25">
      <c r="A104" s="125" t="s">
        <v>39</v>
      </c>
      <c r="B104" s="126" t="s">
        <v>40</v>
      </c>
      <c r="C104" s="136" t="str">
        <f>+'Stazioni Varie'!B15</f>
        <v>Stazione di Modugno</v>
      </c>
      <c r="D104" s="126" t="s">
        <v>48</v>
      </c>
      <c r="E104" s="137">
        <f>+'Stazioni Varie'!J15</f>
        <v>22007.52</v>
      </c>
      <c r="F104" s="128"/>
    </row>
    <row r="105" spans="1:6" ht="33.75" customHeight="1" x14ac:dyDescent="0.25">
      <c r="A105" s="125" t="s">
        <v>39</v>
      </c>
      <c r="B105" s="126" t="s">
        <v>40</v>
      </c>
      <c r="C105" s="136" t="str">
        <f>+'Stazioni Varie'!B16</f>
        <v>Stazione Bari Policlinico</v>
      </c>
      <c r="D105" s="126" t="s">
        <v>48</v>
      </c>
      <c r="E105" s="137">
        <f>+'Stazioni Varie'!J16</f>
        <v>3020.64</v>
      </c>
      <c r="F105" s="128"/>
    </row>
    <row r="106" spans="1:6" ht="33.75" customHeight="1" x14ac:dyDescent="0.25">
      <c r="A106" s="125" t="s">
        <v>39</v>
      </c>
      <c r="B106" s="126" t="s">
        <v>40</v>
      </c>
      <c r="C106" s="136" t="str">
        <f>+'Stazioni Varie'!B17</f>
        <v>Stazione di Palo</v>
      </c>
      <c r="D106" s="126" t="s">
        <v>48</v>
      </c>
      <c r="E106" s="137">
        <f>+'Stazioni Varie'!J17</f>
        <v>4315.2</v>
      </c>
      <c r="F106" s="128"/>
    </row>
    <row r="107" spans="1:6" ht="33.75" customHeight="1" x14ac:dyDescent="0.25">
      <c r="A107" s="125" t="s">
        <v>39</v>
      </c>
      <c r="B107" s="126" t="s">
        <v>40</v>
      </c>
      <c r="C107" s="136" t="str">
        <f>+'Stazioni Varie'!B18</f>
        <v>Stazione di Toritto</v>
      </c>
      <c r="D107" s="126" t="s">
        <v>48</v>
      </c>
      <c r="E107" s="137">
        <f>+'Stazioni Varie'!J18</f>
        <v>5609.76</v>
      </c>
      <c r="F107" s="128"/>
    </row>
    <row r="108" spans="1:6" ht="33.75" customHeight="1" x14ac:dyDescent="0.25">
      <c r="A108" s="125" t="s">
        <v>39</v>
      </c>
      <c r="B108" s="126" t="s">
        <v>40</v>
      </c>
      <c r="C108" s="126" t="str">
        <f>+'Impianti Fissi'!C21</f>
        <v>Spogliatoi personale EML e EMI - Matera Serra Rifusa</v>
      </c>
      <c r="D108" s="126" t="s">
        <v>48</v>
      </c>
      <c r="E108" s="127">
        <f>+'Impianti Fissi'!J21</f>
        <v>21317.088</v>
      </c>
      <c r="F108" s="128"/>
    </row>
    <row r="109" spans="1:6" ht="33.75" customHeight="1" x14ac:dyDescent="0.25">
      <c r="A109" s="125" t="s">
        <v>39</v>
      </c>
      <c r="B109" s="126" t="s">
        <v>40</v>
      </c>
      <c r="C109" s="126" t="str">
        <f>+'Impianti Fissi'!C22</f>
        <v>Spogliatoi personale EML e EMI - Bari scalo</v>
      </c>
      <c r="D109" s="126" t="s">
        <v>48</v>
      </c>
      <c r="E109" s="127">
        <f>+'Impianti Fissi'!J22</f>
        <v>6472.8</v>
      </c>
      <c r="F109" s="128"/>
    </row>
    <row r="110" spans="1:6" ht="33.75" customHeight="1" x14ac:dyDescent="0.25">
      <c r="A110" s="125" t="s">
        <v>39</v>
      </c>
      <c r="B110" s="126" t="s">
        <v>40</v>
      </c>
      <c r="C110" s="126" t="s">
        <v>230</v>
      </c>
      <c r="D110" s="126" t="s">
        <v>48</v>
      </c>
      <c r="E110" s="127">
        <f>+'Stazioni Varie'!J32</f>
        <v>2200.752</v>
      </c>
      <c r="F110" s="128"/>
    </row>
    <row r="111" spans="1:6" ht="33.75" customHeight="1" x14ac:dyDescent="0.25">
      <c r="A111" s="125" t="s">
        <v>39</v>
      </c>
      <c r="B111" s="126" t="s">
        <v>40</v>
      </c>
      <c r="C111" s="66" t="s">
        <v>198</v>
      </c>
      <c r="D111" s="126" t="s">
        <v>48</v>
      </c>
      <c r="E111" s="127">
        <f>+'Apertura e Chiusura Stazioni'!D4</f>
        <v>4099.4400000000005</v>
      </c>
      <c r="F111" s="128"/>
    </row>
    <row r="112" spans="1:6" ht="33.75" customHeight="1" x14ac:dyDescent="0.25">
      <c r="A112" s="125" t="s">
        <v>39</v>
      </c>
      <c r="B112" s="126" t="s">
        <v>40</v>
      </c>
      <c r="C112" s="15" t="s">
        <v>199</v>
      </c>
      <c r="D112" s="126" t="s">
        <v>48</v>
      </c>
      <c r="E112" s="127">
        <f>+'Apertura e Chiusura Stazioni'!D5</f>
        <v>4099.4400000000005</v>
      </c>
      <c r="F112" s="128"/>
    </row>
    <row r="113" spans="1:9" ht="33.75" customHeight="1" x14ac:dyDescent="0.25">
      <c r="A113" s="125" t="s">
        <v>39</v>
      </c>
      <c r="B113" s="126" t="s">
        <v>40</v>
      </c>
      <c r="C113" s="15" t="s">
        <v>200</v>
      </c>
      <c r="D113" s="126" t="s">
        <v>48</v>
      </c>
      <c r="E113" s="127">
        <f>+'Apertura e Chiusura Stazioni'!D6</f>
        <v>4099.4400000000005</v>
      </c>
      <c r="F113" s="128"/>
    </row>
    <row r="114" spans="1:9" ht="33.75" customHeight="1" x14ac:dyDescent="0.25">
      <c r="A114" s="125" t="s">
        <v>39</v>
      </c>
      <c r="B114" s="126" t="s">
        <v>40</v>
      </c>
      <c r="C114" s="15" t="s">
        <v>201</v>
      </c>
      <c r="D114" s="126" t="s">
        <v>48</v>
      </c>
      <c r="E114" s="127">
        <f>+'Apertura e Chiusura Stazioni'!D7</f>
        <v>4099.4400000000005</v>
      </c>
      <c r="F114" s="128"/>
    </row>
    <row r="115" spans="1:9" ht="33.75" customHeight="1" x14ac:dyDescent="0.25">
      <c r="A115" s="125" t="s">
        <v>39</v>
      </c>
      <c r="B115" s="126" t="s">
        <v>40</v>
      </c>
      <c r="C115" s="15" t="s">
        <v>202</v>
      </c>
      <c r="D115" s="126" t="s">
        <v>48</v>
      </c>
      <c r="E115" s="127">
        <f>+'Apertura e Chiusura Stazioni'!D8</f>
        <v>4099.4400000000005</v>
      </c>
      <c r="F115" s="128"/>
    </row>
    <row r="116" spans="1:9" ht="33.75" customHeight="1" x14ac:dyDescent="0.25">
      <c r="A116" s="125" t="s">
        <v>39</v>
      </c>
      <c r="B116" s="126" t="s">
        <v>40</v>
      </c>
      <c r="C116" s="15" t="s">
        <v>203</v>
      </c>
      <c r="D116" s="126" t="s">
        <v>48</v>
      </c>
      <c r="E116" s="127">
        <f>+'Apertura e Chiusura Stazioni'!D9</f>
        <v>4099.4400000000005</v>
      </c>
      <c r="F116" s="128"/>
    </row>
    <row r="117" spans="1:9" ht="33.75" customHeight="1" x14ac:dyDescent="0.25">
      <c r="A117" s="125" t="s">
        <v>39</v>
      </c>
      <c r="B117" s="126" t="s">
        <v>40</v>
      </c>
      <c r="C117" s="15" t="s">
        <v>204</v>
      </c>
      <c r="D117" s="126" t="s">
        <v>48</v>
      </c>
      <c r="E117" s="127">
        <f>+'Apertura e Chiusura Stazioni'!D10</f>
        <v>4099.4400000000005</v>
      </c>
      <c r="F117" s="128"/>
    </row>
    <row r="118" spans="1:9" ht="33.75" customHeight="1" thickBot="1" x14ac:dyDescent="0.3">
      <c r="A118" s="142" t="s">
        <v>39</v>
      </c>
      <c r="B118" s="126" t="s">
        <v>40</v>
      </c>
      <c r="C118" s="15" t="s">
        <v>205</v>
      </c>
      <c r="D118" s="126" t="s">
        <v>48</v>
      </c>
      <c r="E118" s="127">
        <f>+'Apertura e Chiusura Stazioni'!D11</f>
        <v>4099.4400000000005</v>
      </c>
      <c r="F118" s="128"/>
    </row>
    <row r="119" spans="1:9" ht="33.75" customHeight="1" thickBot="1" x14ac:dyDescent="0.3">
      <c r="A119" s="131" t="s">
        <v>39</v>
      </c>
      <c r="B119" s="132" t="s">
        <v>40</v>
      </c>
      <c r="C119" s="146" t="s">
        <v>206</v>
      </c>
      <c r="D119" s="132" t="s">
        <v>48</v>
      </c>
      <c r="E119" s="64">
        <f>+'Apertura e Chiusura Stazioni'!D12</f>
        <v>4099.4400000000005</v>
      </c>
      <c r="F119" s="134">
        <f>SUM(E95:E119)</f>
        <v>305084.64</v>
      </c>
      <c r="I119" s="115"/>
    </row>
    <row r="120" spans="1:9" ht="33.75" customHeight="1" thickBot="1" x14ac:dyDescent="0.3">
      <c r="A120" s="135" t="s">
        <v>41</v>
      </c>
      <c r="B120" s="147" t="s">
        <v>42</v>
      </c>
      <c r="C120" s="147"/>
      <c r="D120" s="147" t="s">
        <v>48</v>
      </c>
      <c r="E120" s="148">
        <f>+'Riepilogo Importi'!B13</f>
        <v>36000</v>
      </c>
      <c r="F120" s="149">
        <f>E120</f>
        <v>36000</v>
      </c>
    </row>
    <row r="121" spans="1:9" ht="33.75" customHeight="1" thickBot="1" x14ac:dyDescent="0.3">
      <c r="A121" s="150"/>
      <c r="B121" s="151" t="s">
        <v>59</v>
      </c>
      <c r="C121" s="152"/>
      <c r="D121" s="152"/>
      <c r="E121" s="153">
        <f>SUM(E2:E120)</f>
        <v>2001788.78464</v>
      </c>
      <c r="F121" s="154">
        <f>SUM(F2:F120)</f>
        <v>2001788.7846399997</v>
      </c>
    </row>
  </sheetData>
  <sheetProtection algorithmName="SHA-512" hashValue="rtxEbKoxNChyOyD9gheYxaOwsCRihTF1w2vqsgFi/96wjOF+wVlEtJOQEpLPhDCWq6c3QolPeLFi7WDJVyC57Q==" saltValue="31bIQCViiXuu0NG4ky159g==" spinCount="100000" sheet="1" objects="1" scenarios="1"/>
  <autoFilter ref="A1:E121" xr:uid="{00000000-0009-0000-0000-000002000000}"/>
  <printOptions horizontalCentered="1"/>
  <pageMargins left="0.11811023622047245" right="0.11811023622047245" top="0.74803149606299213" bottom="0.74803149606299213" header="0.31496062992125984" footer="0.31496062992125984"/>
  <pageSetup paperSize="8" scale="61" orientation="portrait" r:id="rId1"/>
  <headerFooter>
    <oddHeader>&amp;CAllegato 7 - Schede Tempi Operazioni</oddHeader>
  </headerFooter>
  <rowBreaks count="1" manualBreakCount="1">
    <brk id="66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4A9E9-07B8-44CF-AB75-155CAF54EF14}">
  <dimension ref="B2:M22"/>
  <sheetViews>
    <sheetView workbookViewId="0">
      <selection activeCell="C15" activeCellId="1" sqref="C11 C15"/>
    </sheetView>
  </sheetViews>
  <sheetFormatPr defaultRowHeight="15" x14ac:dyDescent="0.25"/>
  <cols>
    <col min="1" max="1" width="9.140625" style="12"/>
    <col min="2" max="2" width="39.7109375" style="12" customWidth="1"/>
    <col min="3" max="3" width="38.5703125" style="12" customWidth="1"/>
    <col min="4" max="4" width="13.42578125" style="12" bestFit="1" customWidth="1"/>
    <col min="5" max="5" width="9.5703125" style="32" customWidth="1"/>
    <col min="6" max="6" width="8.140625" style="12" bestFit="1" customWidth="1"/>
    <col min="7" max="7" width="11.7109375" style="12" bestFit="1" customWidth="1"/>
    <col min="8" max="8" width="9.140625" style="12"/>
    <col min="9" max="9" width="9.7109375" style="12" bestFit="1" customWidth="1"/>
    <col min="10" max="11" width="13.140625" style="12" bestFit="1" customWidth="1"/>
    <col min="12" max="12" width="9.140625" style="12"/>
    <col min="13" max="13" width="13.140625" style="12" bestFit="1" customWidth="1"/>
    <col min="14" max="16384" width="9.140625" style="12"/>
  </cols>
  <sheetData>
    <row r="2" spans="2:11" x14ac:dyDescent="0.25">
      <c r="B2" s="65" t="s">
        <v>217</v>
      </c>
    </row>
    <row r="3" spans="2:11" ht="15.75" thickBot="1" x14ac:dyDescent="0.3"/>
    <row r="4" spans="2:11" ht="45.75" thickBot="1" x14ac:dyDescent="0.3">
      <c r="B4" s="34" t="s">
        <v>219</v>
      </c>
      <c r="C4" s="35" t="s">
        <v>118</v>
      </c>
      <c r="D4" s="35" t="s">
        <v>64</v>
      </c>
      <c r="E4" s="36" t="s">
        <v>120</v>
      </c>
      <c r="F4" s="35" t="s">
        <v>121</v>
      </c>
      <c r="G4" s="35" t="s">
        <v>64</v>
      </c>
      <c r="H4" s="35" t="s">
        <v>120</v>
      </c>
      <c r="I4" s="35" t="s">
        <v>122</v>
      </c>
      <c r="J4" s="35" t="s">
        <v>123</v>
      </c>
      <c r="K4" s="59" t="s">
        <v>185</v>
      </c>
    </row>
    <row r="5" spans="2:11" ht="30" customHeight="1" x14ac:dyDescent="0.25">
      <c r="B5" s="247" t="s">
        <v>168</v>
      </c>
      <c r="C5" s="39" t="s">
        <v>128</v>
      </c>
      <c r="D5" s="39" t="s">
        <v>129</v>
      </c>
      <c r="E5" s="40">
        <f>104*2</f>
        <v>208</v>
      </c>
      <c r="F5" s="39" t="s">
        <v>173</v>
      </c>
      <c r="G5" s="39" t="s">
        <v>173</v>
      </c>
      <c r="H5" s="39" t="s">
        <v>173</v>
      </c>
      <c r="I5" s="40">
        <f>+E5</f>
        <v>208</v>
      </c>
      <c r="J5" s="55">
        <f>I5*'Riepilogo Importi'!$G$2</f>
        <v>4487.808</v>
      </c>
      <c r="K5" s="60"/>
    </row>
    <row r="6" spans="2:11" ht="30" customHeight="1" x14ac:dyDescent="0.25">
      <c r="B6" s="248"/>
      <c r="C6" s="42" t="s">
        <v>131</v>
      </c>
      <c r="D6" s="43" t="s">
        <v>67</v>
      </c>
      <c r="E6" s="44">
        <v>300</v>
      </c>
      <c r="F6" s="43">
        <v>1</v>
      </c>
      <c r="G6" s="43" t="s">
        <v>89</v>
      </c>
      <c r="H6" s="43">
        <v>360</v>
      </c>
      <c r="I6" s="44">
        <f t="shared" ref="I6" si="0">E6+H6</f>
        <v>660</v>
      </c>
      <c r="J6" s="56">
        <f>I6*'Riepilogo Importi'!$G$2</f>
        <v>14240.16</v>
      </c>
      <c r="K6" s="61"/>
    </row>
    <row r="7" spans="2:11" ht="30" customHeight="1" x14ac:dyDescent="0.25">
      <c r="B7" s="248"/>
      <c r="C7" s="45" t="s">
        <v>172</v>
      </c>
      <c r="D7" s="43" t="s">
        <v>143</v>
      </c>
      <c r="E7" s="46">
        <v>24</v>
      </c>
      <c r="F7" s="47" t="s">
        <v>173</v>
      </c>
      <c r="G7" s="47" t="s">
        <v>173</v>
      </c>
      <c r="H7" s="48" t="s">
        <v>173</v>
      </c>
      <c r="I7" s="231">
        <f t="shared" ref="I7:I13" si="1">+E7</f>
        <v>24</v>
      </c>
      <c r="J7" s="56">
        <f>I7*'Riepilogo Importi'!$G$2</f>
        <v>517.82400000000007</v>
      </c>
      <c r="K7" s="61"/>
    </row>
    <row r="8" spans="2:11" ht="30" customHeight="1" thickBot="1" x14ac:dyDescent="0.3">
      <c r="B8" s="249"/>
      <c r="C8" s="33" t="s">
        <v>171</v>
      </c>
      <c r="D8" s="49" t="s">
        <v>67</v>
      </c>
      <c r="E8" s="50">
        <v>900</v>
      </c>
      <c r="F8" s="49" t="s">
        <v>173</v>
      </c>
      <c r="G8" s="49" t="s">
        <v>173</v>
      </c>
      <c r="H8" s="49" t="s">
        <v>173</v>
      </c>
      <c r="I8" s="50">
        <f t="shared" si="1"/>
        <v>900</v>
      </c>
      <c r="J8" s="57">
        <f>I8*'Riepilogo Importi'!$G$2</f>
        <v>19418.400000000001</v>
      </c>
      <c r="K8" s="62">
        <f>+SUM(J5:J8)</f>
        <v>38664.192000000003</v>
      </c>
    </row>
    <row r="9" spans="2:11" ht="30" customHeight="1" x14ac:dyDescent="0.25">
      <c r="B9" s="247" t="s">
        <v>177</v>
      </c>
      <c r="C9" s="39" t="s">
        <v>171</v>
      </c>
      <c r="D9" s="39" t="s">
        <v>67</v>
      </c>
      <c r="E9" s="40">
        <v>900</v>
      </c>
      <c r="F9" s="39" t="s">
        <v>173</v>
      </c>
      <c r="G9" s="39" t="s">
        <v>173</v>
      </c>
      <c r="H9" s="39" t="s">
        <v>173</v>
      </c>
      <c r="I9" s="40">
        <f t="shared" si="1"/>
        <v>900</v>
      </c>
      <c r="J9" s="55">
        <f>I9*'Riepilogo Importi'!$G$2</f>
        <v>19418.400000000001</v>
      </c>
      <c r="K9" s="60"/>
    </row>
    <row r="10" spans="2:11" ht="30" customHeight="1" x14ac:dyDescent="0.25">
      <c r="B10" s="248"/>
      <c r="C10" s="43" t="s">
        <v>174</v>
      </c>
      <c r="D10" s="43" t="s">
        <v>143</v>
      </c>
      <c r="E10" s="46">
        <v>24</v>
      </c>
      <c r="F10" s="47" t="s">
        <v>173</v>
      </c>
      <c r="G10" s="47" t="s">
        <v>173</v>
      </c>
      <c r="H10" s="48" t="s">
        <v>173</v>
      </c>
      <c r="I10" s="231">
        <f t="shared" si="1"/>
        <v>24</v>
      </c>
      <c r="J10" s="56">
        <f>I10*'Riepilogo Importi'!$G$2</f>
        <v>517.82400000000007</v>
      </c>
      <c r="K10" s="61"/>
    </row>
    <row r="11" spans="2:11" ht="30" customHeight="1" x14ac:dyDescent="0.25">
      <c r="B11" s="248"/>
      <c r="C11" s="43" t="s">
        <v>224</v>
      </c>
      <c r="D11" s="43" t="s">
        <v>129</v>
      </c>
      <c r="E11" s="46">
        <v>104</v>
      </c>
      <c r="F11" s="47"/>
      <c r="G11" s="47"/>
      <c r="H11" s="48"/>
      <c r="I11" s="231">
        <f t="shared" si="1"/>
        <v>104</v>
      </c>
      <c r="J11" s="56">
        <f>I11*'Riepilogo Importi'!$G$2</f>
        <v>2243.904</v>
      </c>
      <c r="K11" s="61"/>
    </row>
    <row r="12" spans="2:11" ht="30" customHeight="1" thickBot="1" x14ac:dyDescent="0.3">
      <c r="B12" s="249"/>
      <c r="C12" s="49" t="s">
        <v>176</v>
      </c>
      <c r="D12" s="49" t="s">
        <v>156</v>
      </c>
      <c r="E12" s="50">
        <f>2.5*3*52</f>
        <v>390</v>
      </c>
      <c r="F12" s="49" t="s">
        <v>173</v>
      </c>
      <c r="G12" s="49" t="s">
        <v>173</v>
      </c>
      <c r="H12" s="49" t="s">
        <v>173</v>
      </c>
      <c r="I12" s="50">
        <f t="shared" si="1"/>
        <v>390</v>
      </c>
      <c r="J12" s="57">
        <f>I12*'Riepilogo Importi'!$G$2</f>
        <v>8414.64</v>
      </c>
      <c r="K12" s="62">
        <f>+SUM(J9:J12)</f>
        <v>30594.768</v>
      </c>
    </row>
    <row r="13" spans="2:11" ht="30" customHeight="1" x14ac:dyDescent="0.25">
      <c r="B13" s="247" t="s">
        <v>178</v>
      </c>
      <c r="C13" s="39" t="s">
        <v>170</v>
      </c>
      <c r="D13" s="39" t="s">
        <v>129</v>
      </c>
      <c r="E13" s="40">
        <f>2*52</f>
        <v>104</v>
      </c>
      <c r="F13" s="39" t="s">
        <v>173</v>
      </c>
      <c r="G13" s="39" t="s">
        <v>173</v>
      </c>
      <c r="H13" s="39" t="s">
        <v>173</v>
      </c>
      <c r="I13" s="40">
        <f t="shared" si="1"/>
        <v>104</v>
      </c>
      <c r="J13" s="55">
        <f>I13*'Riepilogo Importi'!$G$2</f>
        <v>2243.904</v>
      </c>
      <c r="K13" s="60"/>
    </row>
    <row r="14" spans="2:11" ht="30" customHeight="1" x14ac:dyDescent="0.25">
      <c r="B14" s="248"/>
      <c r="C14" s="43" t="s">
        <v>169</v>
      </c>
      <c r="D14" s="43" t="s">
        <v>129</v>
      </c>
      <c r="E14" s="44">
        <f>3*52*2</f>
        <v>312</v>
      </c>
      <c r="F14" s="43">
        <v>1</v>
      </c>
      <c r="G14" s="43" t="s">
        <v>125</v>
      </c>
      <c r="H14" s="43">
        <f>((F14*10000)/1000)*12</f>
        <v>120</v>
      </c>
      <c r="I14" s="44">
        <f>E14+H14</f>
        <v>432</v>
      </c>
      <c r="J14" s="56">
        <f>I14*'Riepilogo Importi'!$G$2</f>
        <v>9320.8320000000003</v>
      </c>
      <c r="K14" s="61"/>
    </row>
    <row r="15" spans="2:11" ht="30" customHeight="1" x14ac:dyDescent="0.25">
      <c r="B15" s="248"/>
      <c r="C15" s="43" t="s">
        <v>225</v>
      </c>
      <c r="D15" s="43" t="s">
        <v>129</v>
      </c>
      <c r="E15" s="44">
        <v>104</v>
      </c>
      <c r="F15" s="43"/>
      <c r="G15" s="43"/>
      <c r="H15" s="43"/>
      <c r="I15" s="44">
        <f>E15+H15</f>
        <v>104</v>
      </c>
      <c r="J15" s="56">
        <f>I15*'Riepilogo Importi'!$G$2</f>
        <v>2243.904</v>
      </c>
      <c r="K15" s="61"/>
    </row>
    <row r="16" spans="2:11" ht="30" customHeight="1" x14ac:dyDescent="0.25">
      <c r="B16" s="248"/>
      <c r="C16" s="45" t="s">
        <v>171</v>
      </c>
      <c r="D16" s="43" t="s">
        <v>67</v>
      </c>
      <c r="E16" s="44">
        <v>900</v>
      </c>
      <c r="F16" s="43" t="s">
        <v>173</v>
      </c>
      <c r="G16" s="43" t="s">
        <v>173</v>
      </c>
      <c r="H16" s="43" t="s">
        <v>173</v>
      </c>
      <c r="I16" s="44">
        <f>+E16</f>
        <v>900</v>
      </c>
      <c r="J16" s="56">
        <f>I16*'Riepilogo Importi'!$G$2</f>
        <v>19418.400000000001</v>
      </c>
      <c r="K16" s="61"/>
    </row>
    <row r="17" spans="2:13" ht="30" customHeight="1" thickBot="1" x14ac:dyDescent="0.3">
      <c r="B17" s="249"/>
      <c r="C17" s="33" t="s">
        <v>175</v>
      </c>
      <c r="D17" s="33" t="s">
        <v>143</v>
      </c>
      <c r="E17" s="51">
        <v>24</v>
      </c>
      <c r="F17" s="52" t="s">
        <v>173</v>
      </c>
      <c r="G17" s="52" t="s">
        <v>173</v>
      </c>
      <c r="H17" s="53" t="s">
        <v>173</v>
      </c>
      <c r="I17" s="232">
        <f>+E17</f>
        <v>24</v>
      </c>
      <c r="J17" s="57">
        <f>I17*'Riepilogo Importi'!$G$2</f>
        <v>517.82400000000007</v>
      </c>
      <c r="K17" s="62">
        <f>+SUM(J13:J17)</f>
        <v>33744.864000000001</v>
      </c>
    </row>
    <row r="18" spans="2:13" ht="45.95" customHeight="1" thickBot="1" x14ac:dyDescent="0.3">
      <c r="B18" s="37" t="s">
        <v>179</v>
      </c>
      <c r="C18" s="237" t="s">
        <v>180</v>
      </c>
      <c r="D18" s="38" t="s">
        <v>67</v>
      </c>
      <c r="E18" s="54">
        <v>9000</v>
      </c>
      <c r="F18" s="38" t="s">
        <v>173</v>
      </c>
      <c r="G18" s="38" t="s">
        <v>173</v>
      </c>
      <c r="H18" s="38" t="s">
        <v>173</v>
      </c>
      <c r="I18" s="54">
        <f>E18</f>
        <v>9000</v>
      </c>
      <c r="J18" s="58">
        <f>I18*'Riepilogo Importi'!$G$2</f>
        <v>194184</v>
      </c>
      <c r="K18" s="63">
        <f>+J18</f>
        <v>194184</v>
      </c>
      <c r="M18" s="195" t="s">
        <v>236</v>
      </c>
    </row>
    <row r="19" spans="2:13" ht="45" customHeight="1" x14ac:dyDescent="0.25">
      <c r="B19" s="247" t="s">
        <v>182</v>
      </c>
      <c r="C19" s="101" t="s">
        <v>180</v>
      </c>
      <c r="D19" s="39" t="s">
        <v>67</v>
      </c>
      <c r="E19" s="41">
        <v>2550</v>
      </c>
      <c r="F19" s="39" t="s">
        <v>173</v>
      </c>
      <c r="G19" s="39" t="s">
        <v>173</v>
      </c>
      <c r="H19" s="39" t="s">
        <v>173</v>
      </c>
      <c r="I19" s="41">
        <f t="shared" ref="I19:I20" si="2">E19</f>
        <v>2550</v>
      </c>
      <c r="J19" s="55">
        <f>I19*'Riepilogo Importi'!$G$2</f>
        <v>55018.8</v>
      </c>
      <c r="K19" s="60"/>
    </row>
    <row r="20" spans="2:13" ht="30" customHeight="1" thickBot="1" x14ac:dyDescent="0.3">
      <c r="B20" s="249"/>
      <c r="C20" s="49" t="s">
        <v>181</v>
      </c>
      <c r="D20" s="49" t="s">
        <v>67</v>
      </c>
      <c r="E20" s="50">
        <v>150</v>
      </c>
      <c r="F20" s="49" t="s">
        <v>173</v>
      </c>
      <c r="G20" s="49" t="s">
        <v>173</v>
      </c>
      <c r="H20" s="49" t="s">
        <v>173</v>
      </c>
      <c r="I20" s="50">
        <f t="shared" si="2"/>
        <v>150</v>
      </c>
      <c r="J20" s="57">
        <f>I20*'Riepilogo Importi'!$G$2</f>
        <v>3236.4</v>
      </c>
      <c r="K20" s="102">
        <f>+J20+J19</f>
        <v>58255.200000000004</v>
      </c>
      <c r="L20" s="65"/>
    </row>
    <row r="21" spans="2:13" ht="45.95" customHeight="1" x14ac:dyDescent="0.25">
      <c r="B21" s="247" t="s">
        <v>183</v>
      </c>
      <c r="C21" s="228" t="s">
        <v>184</v>
      </c>
      <c r="D21" s="39" t="s">
        <v>67</v>
      </c>
      <c r="E21" s="40">
        <f>+(3*6+1)*52</f>
        <v>988</v>
      </c>
      <c r="F21" s="39" t="s">
        <v>173</v>
      </c>
      <c r="G21" s="39" t="s">
        <v>173</v>
      </c>
      <c r="H21" s="39" t="s">
        <v>173</v>
      </c>
      <c r="I21" s="40">
        <f>+E21</f>
        <v>988</v>
      </c>
      <c r="J21" s="55">
        <f>I21*'Riepilogo Importi'!$G$2</f>
        <v>21317.088</v>
      </c>
      <c r="K21" s="229"/>
    </row>
    <row r="22" spans="2:13" ht="33" customHeight="1" thickBot="1" x14ac:dyDescent="0.3">
      <c r="B22" s="249"/>
      <c r="C22" s="49" t="s">
        <v>221</v>
      </c>
      <c r="D22" s="49" t="s">
        <v>67</v>
      </c>
      <c r="E22" s="50">
        <v>300</v>
      </c>
      <c r="F22" s="49"/>
      <c r="G22" s="49"/>
      <c r="H22" s="49"/>
      <c r="I22" s="50">
        <f>+E22</f>
        <v>300</v>
      </c>
      <c r="J22" s="230">
        <f>I22*'Riepilogo Importi'!$G$2</f>
        <v>6472.8</v>
      </c>
      <c r="K22" s="62">
        <f>SUM(J21:J22)</f>
        <v>27789.887999999999</v>
      </c>
    </row>
  </sheetData>
  <sheetProtection algorithmName="SHA-512" hashValue="SVwCUH1WAdnuxfFXsD7/nrHzfPU0ThMcgWVK4roe6InjS1qnhtbVV3E4iLOS2G197esJaIcZJ7DTEf/OnR8+SQ==" saltValue="QsPcSEFOGZ7OqGuWQoe8FQ==" spinCount="100000" sheet="1" objects="1" scenarios="1"/>
  <mergeCells count="5">
    <mergeCell ref="B13:B17"/>
    <mergeCell ref="B9:B12"/>
    <mergeCell ref="B19:B20"/>
    <mergeCell ref="B5:B8"/>
    <mergeCell ref="B21:B2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B9843-D2CF-4BB1-AC61-B4FD0AD255AC}">
  <sheetPr>
    <pageSetUpPr fitToPage="1"/>
  </sheetPr>
  <dimension ref="A1:E9"/>
  <sheetViews>
    <sheetView zoomScaleNormal="100" workbookViewId="0">
      <selection activeCell="A31" sqref="A31"/>
    </sheetView>
  </sheetViews>
  <sheetFormatPr defaultColWidth="9.140625" defaultRowHeight="15" x14ac:dyDescent="0.25"/>
  <cols>
    <col min="1" max="1" width="44.140625" style="66" customWidth="1"/>
    <col min="2" max="2" width="48.28515625" style="66" customWidth="1"/>
    <col min="3" max="3" width="17.140625" style="66" customWidth="1"/>
    <col min="4" max="4" width="16.42578125" style="66" customWidth="1"/>
    <col min="5" max="5" width="19.5703125" style="66" customWidth="1"/>
    <col min="6" max="16384" width="9.140625" style="66"/>
  </cols>
  <sheetData>
    <row r="1" spans="1:5" ht="19.5" thickBot="1" x14ac:dyDescent="0.3">
      <c r="A1" s="250" t="s">
        <v>60</v>
      </c>
      <c r="B1" s="251"/>
      <c r="C1" s="251"/>
      <c r="D1" s="251"/>
      <c r="E1" s="252"/>
    </row>
    <row r="2" spans="1:5" ht="15.75" thickBot="1" x14ac:dyDescent="0.3"/>
    <row r="3" spans="1:5" ht="24" customHeight="1" thickBot="1" x14ac:dyDescent="0.3">
      <c r="A3" s="34" t="s">
        <v>61</v>
      </c>
      <c r="B3" s="151" t="s">
        <v>62</v>
      </c>
      <c r="C3" s="151" t="s">
        <v>63</v>
      </c>
      <c r="D3" s="151" t="s">
        <v>64</v>
      </c>
      <c r="E3" s="59" t="s">
        <v>2</v>
      </c>
    </row>
    <row r="4" spans="1:5" ht="56.25" customHeight="1" thickBot="1" x14ac:dyDescent="0.3">
      <c r="A4" s="172" t="s">
        <v>65</v>
      </c>
      <c r="B4" s="173" t="s">
        <v>66</v>
      </c>
      <c r="C4" s="233">
        <f>40*250-1560+0.5*52-300</f>
        <v>8166</v>
      </c>
      <c r="D4" s="174" t="s">
        <v>67</v>
      </c>
      <c r="E4" s="175">
        <f>C4*'Riepilogo Importi'!$G$2</f>
        <v>176189.61600000001</v>
      </c>
    </row>
    <row r="5" spans="1:5" ht="56.25" customHeight="1" thickBot="1" x14ac:dyDescent="0.3">
      <c r="A5" s="176" t="s">
        <v>68</v>
      </c>
      <c r="B5" s="177" t="s">
        <v>69</v>
      </c>
      <c r="C5" s="234">
        <f>2500-780+0.5*2*52</f>
        <v>1772</v>
      </c>
      <c r="D5" s="178" t="s">
        <v>67</v>
      </c>
      <c r="E5" s="175">
        <f>C5*'Riepilogo Importi'!$G$2</f>
        <v>38232.671999999999</v>
      </c>
    </row>
    <row r="6" spans="1:5" ht="27" customHeight="1" thickBot="1" x14ac:dyDescent="0.3">
      <c r="A6" s="179" t="s">
        <v>59</v>
      </c>
      <c r="B6" s="180"/>
      <c r="C6" s="181"/>
      <c r="D6" s="182"/>
      <c r="E6" s="183">
        <f>SUM(E4:E5)</f>
        <v>214422.288</v>
      </c>
    </row>
    <row r="9" spans="1:5" x14ac:dyDescent="0.25">
      <c r="A9" s="66" t="s">
        <v>220</v>
      </c>
    </row>
  </sheetData>
  <sheetProtection algorithmName="SHA-512" hashValue="r3nSo2hTXuwUBMBs8RE2/ZpUeBaaFIwNuV1CtyXzTh8I/BuQGTNUUZ29wS/p8N9hgb8sLpBEa+FZ2UvkZygqZA==" saltValue="OGjx3gWisJOO7/RpGQZn6g==" spinCount="100000" sheet="1" objects="1" scenarios="1"/>
  <mergeCells count="1">
    <mergeCell ref="A1:E1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98" orientation="landscape" r:id="rId1"/>
  <headerFooter>
    <oddHeader>&amp;CAllegato 7 - Schede Tempi Operazioni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0CB40D-784C-4BBE-BFA7-32CF367A5824}">
  <dimension ref="A1:X30"/>
  <sheetViews>
    <sheetView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D18" sqref="D18"/>
    </sheetView>
  </sheetViews>
  <sheetFormatPr defaultColWidth="9.140625" defaultRowHeight="15" x14ac:dyDescent="0.25"/>
  <cols>
    <col min="1" max="1" width="28.28515625" style="66" customWidth="1"/>
    <col min="2" max="2" width="16.5703125" style="66" bestFit="1" customWidth="1"/>
    <col min="3" max="3" width="14.7109375" style="66" customWidth="1"/>
    <col min="4" max="4" width="12.140625" style="66" customWidth="1"/>
    <col min="5" max="5" width="13.7109375" style="66" customWidth="1"/>
    <col min="6" max="6" width="10.85546875" style="66" bestFit="1" customWidth="1"/>
    <col min="7" max="7" width="15.140625" style="66" bestFit="1" customWidth="1"/>
    <col min="8" max="8" width="14.85546875" style="66" bestFit="1" customWidth="1"/>
    <col min="9" max="9" width="15.140625" style="66" bestFit="1" customWidth="1"/>
    <col min="10" max="10" width="14.5703125" style="66" bestFit="1" customWidth="1"/>
    <col min="11" max="11" width="10.85546875" style="66" bestFit="1" customWidth="1"/>
    <col min="12" max="12" width="15.140625" style="66" bestFit="1" customWidth="1"/>
    <col min="13" max="14" width="17" style="66" bestFit="1" customWidth="1"/>
    <col min="15" max="15" width="14.5703125" style="66" bestFit="1" customWidth="1"/>
    <col min="16" max="16" width="8.5703125" style="66" bestFit="1" customWidth="1"/>
    <col min="17" max="17" width="16.7109375" style="66" bestFit="1" customWidth="1"/>
    <col min="18" max="18" width="17" style="66" bestFit="1" customWidth="1"/>
    <col min="19" max="19" width="14.85546875" style="66" bestFit="1" customWidth="1"/>
    <col min="20" max="20" width="18" style="66" customWidth="1"/>
    <col min="21" max="21" width="13.140625" style="66" bestFit="1" customWidth="1"/>
    <col min="22" max="23" width="11.140625" style="66" customWidth="1"/>
    <col min="24" max="24" width="10.28515625" style="66" bestFit="1" customWidth="1"/>
    <col min="25" max="16384" width="9.140625" style="66"/>
  </cols>
  <sheetData>
    <row r="1" spans="1:24" ht="34.5" thickBot="1" x14ac:dyDescent="0.3">
      <c r="A1" s="255" t="s">
        <v>70</v>
      </c>
      <c r="B1" s="256"/>
      <c r="C1" s="184">
        <f>+'Riepilogo Importi'!$G$2</f>
        <v>21.576000000000001</v>
      </c>
      <c r="D1" s="270" t="s">
        <v>71</v>
      </c>
      <c r="E1" s="271"/>
      <c r="F1" s="271"/>
      <c r="G1" s="271"/>
      <c r="H1" s="271"/>
      <c r="I1" s="271"/>
      <c r="J1" s="271"/>
      <c r="K1" s="271"/>
      <c r="L1" s="271"/>
      <c r="M1" s="271"/>
      <c r="N1" s="196"/>
      <c r="O1" s="196"/>
      <c r="P1" s="196"/>
      <c r="Q1" s="196"/>
      <c r="R1" s="196"/>
      <c r="S1" s="196"/>
      <c r="T1" s="197"/>
    </row>
    <row r="2" spans="1:24" ht="14.25" customHeight="1" thickBot="1" x14ac:dyDescent="0.3">
      <c r="A2" s="185"/>
      <c r="B2" s="185"/>
      <c r="C2" s="185"/>
      <c r="D2" s="185"/>
      <c r="E2" s="185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W2" s="155"/>
      <c r="X2" s="187"/>
    </row>
    <row r="3" spans="1:24" ht="15" customHeight="1" thickBot="1" x14ac:dyDescent="0.3">
      <c r="A3" s="259" t="s">
        <v>94</v>
      </c>
      <c r="B3" s="260"/>
      <c r="C3" s="263" t="s">
        <v>76</v>
      </c>
      <c r="D3" s="264"/>
      <c r="E3" s="264"/>
      <c r="F3" s="264"/>
      <c r="G3" s="264"/>
      <c r="H3" s="272" t="s">
        <v>77</v>
      </c>
      <c r="I3" s="272"/>
      <c r="J3" s="272"/>
      <c r="K3" s="272"/>
      <c r="L3" s="272"/>
      <c r="M3" s="273" t="s">
        <v>95</v>
      </c>
    </row>
    <row r="4" spans="1:24" ht="45.75" thickBot="1" x14ac:dyDescent="0.3">
      <c r="A4" s="261"/>
      <c r="B4" s="262"/>
      <c r="C4" s="1" t="s">
        <v>96</v>
      </c>
      <c r="D4" s="11" t="s">
        <v>79</v>
      </c>
      <c r="E4" s="2" t="s">
        <v>81</v>
      </c>
      <c r="F4" s="198" t="s">
        <v>82</v>
      </c>
      <c r="G4" s="3" t="s">
        <v>83</v>
      </c>
      <c r="H4" s="1" t="s">
        <v>97</v>
      </c>
      <c r="I4" s="11" t="s">
        <v>79</v>
      </c>
      <c r="J4" s="2" t="s">
        <v>81</v>
      </c>
      <c r="K4" s="198" t="s">
        <v>82</v>
      </c>
      <c r="L4" s="3" t="s">
        <v>84</v>
      </c>
      <c r="M4" s="274"/>
    </row>
    <row r="5" spans="1:24" ht="18.75" customHeight="1" x14ac:dyDescent="0.25">
      <c r="A5" s="265" t="s">
        <v>98</v>
      </c>
      <c r="B5" s="199" t="s">
        <v>99</v>
      </c>
      <c r="C5" s="86">
        <v>15</v>
      </c>
      <c r="D5" s="193">
        <v>3</v>
      </c>
      <c r="E5" s="87">
        <v>1</v>
      </c>
      <c r="F5" s="8">
        <f t="shared" ref="F5:F24" si="0">+E5*C5*D5</f>
        <v>45</v>
      </c>
      <c r="G5" s="88">
        <f t="shared" ref="G5:G22" si="1">+F5*$C$1</f>
        <v>970.92000000000007</v>
      </c>
      <c r="H5" s="86">
        <v>15</v>
      </c>
      <c r="I5" s="193">
        <v>0</v>
      </c>
      <c r="J5" s="87">
        <v>2</v>
      </c>
      <c r="K5" s="8">
        <f t="shared" ref="K5:K27" si="2">+J5*H5*I5</f>
        <v>0</v>
      </c>
      <c r="L5" s="88">
        <f t="shared" ref="L5:L28" si="3">+K5*$C$1</f>
        <v>0</v>
      </c>
      <c r="M5" s="4">
        <f t="shared" ref="M5:M28" si="4">L5+G5</f>
        <v>970.92000000000007</v>
      </c>
    </row>
    <row r="6" spans="1:24" x14ac:dyDescent="0.25">
      <c r="A6" s="266"/>
      <c r="B6" s="200" t="s">
        <v>100</v>
      </c>
      <c r="C6" s="89">
        <v>20</v>
      </c>
      <c r="D6" s="193">
        <v>1</v>
      </c>
      <c r="E6" s="9">
        <v>2</v>
      </c>
      <c r="F6" s="9">
        <f t="shared" si="0"/>
        <v>40</v>
      </c>
      <c r="G6" s="90">
        <f t="shared" si="1"/>
        <v>863.04</v>
      </c>
      <c r="H6" s="89">
        <v>20</v>
      </c>
      <c r="I6" s="193">
        <v>4</v>
      </c>
      <c r="J6" s="9">
        <v>2</v>
      </c>
      <c r="K6" s="99">
        <f t="shared" si="2"/>
        <v>160</v>
      </c>
      <c r="L6" s="97">
        <f t="shared" si="3"/>
        <v>3452.16</v>
      </c>
      <c r="M6" s="5">
        <f t="shared" si="4"/>
        <v>4315.2</v>
      </c>
    </row>
    <row r="7" spans="1:24" ht="15.75" thickBot="1" x14ac:dyDescent="0.3">
      <c r="A7" s="267"/>
      <c r="B7" s="201" t="s">
        <v>101</v>
      </c>
      <c r="C7" s="91">
        <v>24</v>
      </c>
      <c r="D7" s="202">
        <v>5</v>
      </c>
      <c r="E7" s="92">
        <v>2</v>
      </c>
      <c r="F7" s="10">
        <f t="shared" si="0"/>
        <v>240</v>
      </c>
      <c r="G7" s="93">
        <f t="shared" si="1"/>
        <v>5178.24</v>
      </c>
      <c r="H7" s="91">
        <v>24</v>
      </c>
      <c r="I7" s="202">
        <v>16</v>
      </c>
      <c r="J7" s="92">
        <v>2</v>
      </c>
      <c r="K7" s="10">
        <f t="shared" si="2"/>
        <v>768</v>
      </c>
      <c r="L7" s="93">
        <f t="shared" si="3"/>
        <v>16570.368000000002</v>
      </c>
      <c r="M7" s="6">
        <f t="shared" si="4"/>
        <v>21748.608</v>
      </c>
    </row>
    <row r="8" spans="1:24" ht="18.75" customHeight="1" x14ac:dyDescent="0.25">
      <c r="A8" s="265" t="s">
        <v>102</v>
      </c>
      <c r="B8" s="199" t="s">
        <v>99</v>
      </c>
      <c r="C8" s="86">
        <v>2.5</v>
      </c>
      <c r="D8" s="203">
        <v>3</v>
      </c>
      <c r="E8" s="87">
        <v>52</v>
      </c>
      <c r="F8" s="8">
        <f t="shared" si="0"/>
        <v>390</v>
      </c>
      <c r="G8" s="94">
        <f t="shared" si="1"/>
        <v>8414.64</v>
      </c>
      <c r="H8" s="86">
        <v>2.5</v>
      </c>
      <c r="I8" s="193">
        <v>0</v>
      </c>
      <c r="J8" s="87">
        <v>52</v>
      </c>
      <c r="K8" s="8">
        <f t="shared" si="2"/>
        <v>0</v>
      </c>
      <c r="L8" s="88">
        <f t="shared" si="3"/>
        <v>0</v>
      </c>
      <c r="M8" s="4">
        <f t="shared" si="4"/>
        <v>8414.64</v>
      </c>
    </row>
    <row r="9" spans="1:24" x14ac:dyDescent="0.25">
      <c r="A9" s="266"/>
      <c r="B9" s="200" t="s">
        <v>100</v>
      </c>
      <c r="C9" s="89">
        <v>6</v>
      </c>
      <c r="D9" s="193">
        <v>1</v>
      </c>
      <c r="E9" s="9">
        <v>52</v>
      </c>
      <c r="F9" s="9">
        <f t="shared" si="0"/>
        <v>312</v>
      </c>
      <c r="G9" s="90">
        <f t="shared" si="1"/>
        <v>6731.7120000000004</v>
      </c>
      <c r="H9" s="89">
        <v>6</v>
      </c>
      <c r="I9" s="193">
        <v>4</v>
      </c>
      <c r="J9" s="9">
        <v>52</v>
      </c>
      <c r="K9" s="99">
        <f t="shared" si="2"/>
        <v>1248</v>
      </c>
      <c r="L9" s="97">
        <f t="shared" si="3"/>
        <v>26926.848000000002</v>
      </c>
      <c r="M9" s="5">
        <f t="shared" si="4"/>
        <v>33658.560000000005</v>
      </c>
    </row>
    <row r="10" spans="1:24" ht="15.75" thickBot="1" x14ac:dyDescent="0.3">
      <c r="A10" s="267"/>
      <c r="B10" s="201" t="s">
        <v>101</v>
      </c>
      <c r="C10" s="89">
        <v>9</v>
      </c>
      <c r="D10" s="202">
        <v>5</v>
      </c>
      <c r="E10" s="92">
        <v>52</v>
      </c>
      <c r="F10" s="10">
        <f t="shared" si="0"/>
        <v>2340</v>
      </c>
      <c r="G10" s="93">
        <f t="shared" si="1"/>
        <v>50487.840000000004</v>
      </c>
      <c r="H10" s="89">
        <v>9</v>
      </c>
      <c r="I10" s="202">
        <v>16</v>
      </c>
      <c r="J10" s="92">
        <v>52</v>
      </c>
      <c r="K10" s="10">
        <f t="shared" si="2"/>
        <v>7488</v>
      </c>
      <c r="L10" s="93">
        <f t="shared" si="3"/>
        <v>161561.08800000002</v>
      </c>
      <c r="M10" s="6">
        <f t="shared" si="4"/>
        <v>212048.92800000001</v>
      </c>
    </row>
    <row r="11" spans="1:24" ht="15" customHeight="1" x14ac:dyDescent="0.25">
      <c r="A11" s="265" t="s">
        <v>103</v>
      </c>
      <c r="B11" s="199" t="s">
        <v>99</v>
      </c>
      <c r="C11" s="86">
        <v>0.6</v>
      </c>
      <c r="D11" s="193">
        <v>0</v>
      </c>
      <c r="E11" s="87">
        <v>300</v>
      </c>
      <c r="F11" s="8">
        <f t="shared" si="0"/>
        <v>0</v>
      </c>
      <c r="G11" s="88">
        <f t="shared" si="1"/>
        <v>0</v>
      </c>
      <c r="H11" s="86">
        <v>0.6</v>
      </c>
      <c r="I11" s="193">
        <v>0</v>
      </c>
      <c r="J11" s="87">
        <v>300</v>
      </c>
      <c r="K11" s="8">
        <f t="shared" si="2"/>
        <v>0</v>
      </c>
      <c r="L11" s="88">
        <f t="shared" si="3"/>
        <v>0</v>
      </c>
      <c r="M11" s="4">
        <f t="shared" si="4"/>
        <v>0</v>
      </c>
    </row>
    <row r="12" spans="1:24" x14ac:dyDescent="0.25">
      <c r="A12" s="266"/>
      <c r="B12" s="200" t="s">
        <v>100</v>
      </c>
      <c r="C12" s="89">
        <v>0.6</v>
      </c>
      <c r="D12" s="193">
        <v>1</v>
      </c>
      <c r="E12" s="9">
        <v>300</v>
      </c>
      <c r="F12" s="9">
        <f t="shared" si="0"/>
        <v>180</v>
      </c>
      <c r="G12" s="90">
        <f t="shared" si="1"/>
        <v>3883.6800000000003</v>
      </c>
      <c r="H12" s="89">
        <v>0.6</v>
      </c>
      <c r="I12" s="193">
        <v>4</v>
      </c>
      <c r="J12" s="9">
        <v>300</v>
      </c>
      <c r="K12" s="99">
        <f t="shared" si="2"/>
        <v>720</v>
      </c>
      <c r="L12" s="97">
        <f t="shared" si="3"/>
        <v>15534.720000000001</v>
      </c>
      <c r="M12" s="5">
        <f t="shared" si="4"/>
        <v>19418.400000000001</v>
      </c>
    </row>
    <row r="13" spans="1:24" ht="15.75" thickBot="1" x14ac:dyDescent="0.3">
      <c r="A13" s="267"/>
      <c r="B13" s="201" t="s">
        <v>101</v>
      </c>
      <c r="C13" s="91">
        <v>0.8</v>
      </c>
      <c r="D13" s="202">
        <v>5</v>
      </c>
      <c r="E13" s="92">
        <v>300</v>
      </c>
      <c r="F13" s="10">
        <f t="shared" si="0"/>
        <v>1200</v>
      </c>
      <c r="G13" s="93">
        <f t="shared" si="1"/>
        <v>25891.200000000001</v>
      </c>
      <c r="H13" s="91">
        <v>0.8</v>
      </c>
      <c r="I13" s="202">
        <v>16</v>
      </c>
      <c r="J13" s="92">
        <v>300</v>
      </c>
      <c r="K13" s="10">
        <f t="shared" si="2"/>
        <v>3840</v>
      </c>
      <c r="L13" s="93">
        <f t="shared" si="3"/>
        <v>82851.839999999997</v>
      </c>
      <c r="M13" s="6">
        <f t="shared" si="4"/>
        <v>108743.03999999999</v>
      </c>
    </row>
    <row r="14" spans="1:24" x14ac:dyDescent="0.25">
      <c r="A14" s="265" t="s">
        <v>104</v>
      </c>
      <c r="B14" s="199" t="s">
        <v>99</v>
      </c>
      <c r="C14" s="86">
        <v>0.6</v>
      </c>
      <c r="D14" s="203">
        <v>0</v>
      </c>
      <c r="E14" s="87">
        <v>24</v>
      </c>
      <c r="F14" s="8">
        <f t="shared" si="0"/>
        <v>0</v>
      </c>
      <c r="G14" s="88">
        <f t="shared" si="1"/>
        <v>0</v>
      </c>
      <c r="H14" s="86">
        <v>0.5</v>
      </c>
      <c r="I14" s="193">
        <v>0</v>
      </c>
      <c r="J14" s="87">
        <v>24</v>
      </c>
      <c r="K14" s="8">
        <f t="shared" si="2"/>
        <v>0</v>
      </c>
      <c r="L14" s="88">
        <f t="shared" si="3"/>
        <v>0</v>
      </c>
      <c r="M14" s="4">
        <f t="shared" si="4"/>
        <v>0</v>
      </c>
    </row>
    <row r="15" spans="1:24" x14ac:dyDescent="0.25">
      <c r="A15" s="266"/>
      <c r="B15" s="200" t="s">
        <v>100</v>
      </c>
      <c r="C15" s="89">
        <v>0.9</v>
      </c>
      <c r="D15" s="193">
        <v>1</v>
      </c>
      <c r="E15" s="9">
        <v>24</v>
      </c>
      <c r="F15" s="9">
        <f t="shared" si="0"/>
        <v>21.6</v>
      </c>
      <c r="G15" s="90">
        <f t="shared" si="1"/>
        <v>466.04160000000002</v>
      </c>
      <c r="H15" s="89">
        <v>0.9</v>
      </c>
      <c r="I15" s="193">
        <v>4</v>
      </c>
      <c r="J15" s="9">
        <v>24</v>
      </c>
      <c r="K15" s="99">
        <f t="shared" si="2"/>
        <v>86.4</v>
      </c>
      <c r="L15" s="97">
        <f t="shared" si="3"/>
        <v>1864.1664000000001</v>
      </c>
      <c r="M15" s="5">
        <f t="shared" si="4"/>
        <v>2330.2080000000001</v>
      </c>
    </row>
    <row r="16" spans="1:24" ht="15.75" thickBot="1" x14ac:dyDescent="0.3">
      <c r="A16" s="267"/>
      <c r="B16" s="201" t="s">
        <v>101</v>
      </c>
      <c r="C16" s="91">
        <v>1.3</v>
      </c>
      <c r="D16" s="202">
        <v>5</v>
      </c>
      <c r="E16" s="92">
        <v>24</v>
      </c>
      <c r="F16" s="10">
        <f t="shared" si="0"/>
        <v>156</v>
      </c>
      <c r="G16" s="93">
        <f t="shared" si="1"/>
        <v>3365.8560000000002</v>
      </c>
      <c r="H16" s="91">
        <v>1.3</v>
      </c>
      <c r="I16" s="202">
        <v>16</v>
      </c>
      <c r="J16" s="92">
        <v>24</v>
      </c>
      <c r="K16" s="10">
        <f t="shared" si="2"/>
        <v>499.20000000000005</v>
      </c>
      <c r="L16" s="93">
        <f t="shared" si="3"/>
        <v>10770.739200000002</v>
      </c>
      <c r="M16" s="6">
        <f t="shared" si="4"/>
        <v>14136.595200000002</v>
      </c>
    </row>
    <row r="17" spans="1:16" ht="15" customHeight="1" x14ac:dyDescent="0.25">
      <c r="A17" s="265" t="s">
        <v>105</v>
      </c>
      <c r="B17" s="199" t="s">
        <v>99</v>
      </c>
      <c r="C17" s="86">
        <v>0.25</v>
      </c>
      <c r="D17" s="203">
        <v>3</v>
      </c>
      <c r="E17" s="87">
        <v>52</v>
      </c>
      <c r="F17" s="8">
        <f t="shared" si="0"/>
        <v>39</v>
      </c>
      <c r="G17" s="88">
        <f t="shared" si="1"/>
        <v>841.46400000000006</v>
      </c>
      <c r="H17" s="86">
        <v>0.25</v>
      </c>
      <c r="I17" s="193">
        <v>0</v>
      </c>
      <c r="J17" s="87">
        <v>52</v>
      </c>
      <c r="K17" s="8">
        <f t="shared" si="2"/>
        <v>0</v>
      </c>
      <c r="L17" s="88">
        <f t="shared" si="3"/>
        <v>0</v>
      </c>
      <c r="M17" s="4">
        <f t="shared" si="4"/>
        <v>841.46400000000006</v>
      </c>
    </row>
    <row r="18" spans="1:16" x14ac:dyDescent="0.25">
      <c r="A18" s="266"/>
      <c r="B18" s="200" t="s">
        <v>100</v>
      </c>
      <c r="C18" s="89">
        <v>0.5</v>
      </c>
      <c r="D18" s="193">
        <v>1</v>
      </c>
      <c r="E18" s="9">
        <v>52</v>
      </c>
      <c r="F18" s="9">
        <f t="shared" si="0"/>
        <v>26</v>
      </c>
      <c r="G18" s="90">
        <f t="shared" si="1"/>
        <v>560.976</v>
      </c>
      <c r="H18" s="89">
        <v>0.5</v>
      </c>
      <c r="I18" s="193">
        <v>4</v>
      </c>
      <c r="J18" s="9">
        <v>52</v>
      </c>
      <c r="K18" s="99">
        <f t="shared" si="2"/>
        <v>104</v>
      </c>
      <c r="L18" s="97">
        <f t="shared" si="3"/>
        <v>2243.904</v>
      </c>
      <c r="M18" s="5">
        <f t="shared" si="4"/>
        <v>2804.88</v>
      </c>
    </row>
    <row r="19" spans="1:16" ht="15.75" thickBot="1" x14ac:dyDescent="0.3">
      <c r="A19" s="267"/>
      <c r="B19" s="201" t="s">
        <v>101</v>
      </c>
      <c r="C19" s="91">
        <v>0.8</v>
      </c>
      <c r="D19" s="202">
        <v>5</v>
      </c>
      <c r="E19" s="92">
        <v>52</v>
      </c>
      <c r="F19" s="10">
        <f t="shared" si="0"/>
        <v>208</v>
      </c>
      <c r="G19" s="93">
        <f t="shared" si="1"/>
        <v>4487.808</v>
      </c>
      <c r="H19" s="91">
        <v>0.8</v>
      </c>
      <c r="I19" s="202">
        <v>16</v>
      </c>
      <c r="J19" s="92">
        <v>52</v>
      </c>
      <c r="K19" s="10">
        <f t="shared" si="2"/>
        <v>665.6</v>
      </c>
      <c r="L19" s="93">
        <f t="shared" si="3"/>
        <v>14360.9856</v>
      </c>
      <c r="M19" s="6">
        <f t="shared" si="4"/>
        <v>18848.793600000001</v>
      </c>
    </row>
    <row r="20" spans="1:16" ht="18.75" customHeight="1" x14ac:dyDescent="0.25">
      <c r="A20" s="265" t="s">
        <v>106</v>
      </c>
      <c r="B20" s="199" t="s">
        <v>99</v>
      </c>
      <c r="C20" s="86">
        <v>0.05</v>
      </c>
      <c r="D20" s="203">
        <v>3</v>
      </c>
      <c r="E20" s="87">
        <v>300</v>
      </c>
      <c r="F20" s="8">
        <f t="shared" si="0"/>
        <v>45</v>
      </c>
      <c r="G20" s="88">
        <f t="shared" si="1"/>
        <v>970.92000000000007</v>
      </c>
      <c r="H20" s="86">
        <v>0.05</v>
      </c>
      <c r="I20" s="193">
        <v>0</v>
      </c>
      <c r="J20" s="87">
        <v>300</v>
      </c>
      <c r="K20" s="8">
        <f t="shared" si="2"/>
        <v>0</v>
      </c>
      <c r="L20" s="88">
        <f t="shared" si="3"/>
        <v>0</v>
      </c>
      <c r="M20" s="4">
        <f t="shared" si="4"/>
        <v>970.92000000000007</v>
      </c>
    </row>
    <row r="21" spans="1:16" x14ac:dyDescent="0.25">
      <c r="A21" s="266"/>
      <c r="B21" s="200" t="s">
        <v>100</v>
      </c>
      <c r="C21" s="89">
        <v>0.1</v>
      </c>
      <c r="D21" s="193">
        <v>1</v>
      </c>
      <c r="E21" s="9">
        <v>300</v>
      </c>
      <c r="F21" s="9">
        <f t="shared" si="0"/>
        <v>30</v>
      </c>
      <c r="G21" s="90">
        <f t="shared" si="1"/>
        <v>647.28</v>
      </c>
      <c r="H21" s="89">
        <v>0.1</v>
      </c>
      <c r="I21" s="193">
        <v>4</v>
      </c>
      <c r="J21" s="9">
        <v>300</v>
      </c>
      <c r="K21" s="99">
        <f t="shared" si="2"/>
        <v>120</v>
      </c>
      <c r="L21" s="97">
        <f t="shared" si="3"/>
        <v>2589.12</v>
      </c>
      <c r="M21" s="5">
        <f t="shared" si="4"/>
        <v>3236.3999999999996</v>
      </c>
    </row>
    <row r="22" spans="1:16" ht="15.75" thickBot="1" x14ac:dyDescent="0.3">
      <c r="A22" s="267"/>
      <c r="B22" s="201" t="s">
        <v>101</v>
      </c>
      <c r="C22" s="91">
        <v>0.25</v>
      </c>
      <c r="D22" s="202">
        <v>5</v>
      </c>
      <c r="E22" s="95">
        <v>300</v>
      </c>
      <c r="F22" s="10">
        <f t="shared" si="0"/>
        <v>375</v>
      </c>
      <c r="G22" s="93">
        <f t="shared" si="1"/>
        <v>8091</v>
      </c>
      <c r="H22" s="91">
        <v>0.25</v>
      </c>
      <c r="I22" s="202">
        <v>16</v>
      </c>
      <c r="J22" s="95">
        <v>300</v>
      </c>
      <c r="K22" s="10">
        <f t="shared" si="2"/>
        <v>1200</v>
      </c>
      <c r="L22" s="93">
        <f t="shared" si="3"/>
        <v>25891.200000000001</v>
      </c>
      <c r="M22" s="6">
        <f t="shared" si="4"/>
        <v>33982.199999999997</v>
      </c>
    </row>
    <row r="23" spans="1:16" ht="30.75" thickBot="1" x14ac:dyDescent="0.3">
      <c r="A23" s="204" t="s">
        <v>107</v>
      </c>
      <c r="B23" s="201" t="s">
        <v>108</v>
      </c>
      <c r="C23" s="13">
        <v>0.5</v>
      </c>
      <c r="D23" s="202">
        <v>0</v>
      </c>
      <c r="E23" s="26">
        <v>300</v>
      </c>
      <c r="F23" s="9">
        <f t="shared" ref="F23" si="5">+E23*C23*D23</f>
        <v>0</v>
      </c>
      <c r="G23" s="27">
        <f>+F23*$C$1</f>
        <v>0</v>
      </c>
      <c r="H23" s="13">
        <v>0.5</v>
      </c>
      <c r="I23" s="202">
        <v>6</v>
      </c>
      <c r="J23" s="26">
        <v>300</v>
      </c>
      <c r="K23" s="100">
        <f t="shared" si="2"/>
        <v>900</v>
      </c>
      <c r="L23" s="27">
        <f t="shared" si="3"/>
        <v>19418.400000000001</v>
      </c>
      <c r="M23" s="7">
        <f t="shared" si="4"/>
        <v>19418.400000000001</v>
      </c>
    </row>
    <row r="24" spans="1:16" ht="30.75" thickBot="1" x14ac:dyDescent="0.3">
      <c r="A24" s="204" t="s">
        <v>109</v>
      </c>
      <c r="B24" s="201" t="s">
        <v>110</v>
      </c>
      <c r="C24" s="13">
        <v>0.5</v>
      </c>
      <c r="D24" s="202">
        <v>3</v>
      </c>
      <c r="E24" s="26">
        <v>300</v>
      </c>
      <c r="F24" s="9">
        <f t="shared" si="0"/>
        <v>450</v>
      </c>
      <c r="G24" s="27">
        <f>+F24*$C$1</f>
        <v>9709.2000000000007</v>
      </c>
      <c r="H24" s="13">
        <v>0.5</v>
      </c>
      <c r="I24" s="202">
        <v>0</v>
      </c>
      <c r="J24" s="26">
        <v>300</v>
      </c>
      <c r="K24" s="100">
        <f t="shared" ref="K24" si="6">+J24*H24*I24</f>
        <v>0</v>
      </c>
      <c r="L24" s="27">
        <f t="shared" ref="L24" si="7">+K24*$C$1</f>
        <v>0</v>
      </c>
      <c r="M24" s="7">
        <f t="shared" si="4"/>
        <v>9709.2000000000007</v>
      </c>
    </row>
    <row r="25" spans="1:16" ht="30.75" thickBot="1" x14ac:dyDescent="0.3">
      <c r="A25" s="204" t="s">
        <v>111</v>
      </c>
      <c r="B25" s="201" t="s">
        <v>108</v>
      </c>
      <c r="C25" s="13">
        <v>0.5</v>
      </c>
      <c r="D25" s="202">
        <v>0</v>
      </c>
      <c r="E25" s="26">
        <v>300</v>
      </c>
      <c r="F25" s="9">
        <f t="shared" ref="F25" si="8">+E25*C25*D25</f>
        <v>0</v>
      </c>
      <c r="G25" s="27">
        <f>+F25*$C$1</f>
        <v>0</v>
      </c>
      <c r="H25" s="13">
        <v>0.5</v>
      </c>
      <c r="I25" s="202">
        <v>3</v>
      </c>
      <c r="J25" s="26">
        <v>300</v>
      </c>
      <c r="K25" s="100">
        <f t="shared" si="2"/>
        <v>450</v>
      </c>
      <c r="L25" s="27">
        <f t="shared" si="3"/>
        <v>9709.2000000000007</v>
      </c>
      <c r="M25" s="7">
        <f t="shared" si="4"/>
        <v>9709.2000000000007</v>
      </c>
    </row>
    <row r="26" spans="1:16" ht="15.75" thickBot="1" x14ac:dyDescent="0.3">
      <c r="A26" s="205" t="s">
        <v>112</v>
      </c>
      <c r="B26" s="201" t="s">
        <v>108</v>
      </c>
      <c r="C26" s="28"/>
      <c r="D26" s="27"/>
      <c r="E26" s="29"/>
      <c r="F26" s="30"/>
      <c r="G26" s="31"/>
      <c r="H26" s="28">
        <v>0.25</v>
      </c>
      <c r="I26" s="202">
        <v>3</v>
      </c>
      <c r="J26" s="29">
        <v>300</v>
      </c>
      <c r="K26" s="30">
        <f t="shared" si="2"/>
        <v>225</v>
      </c>
      <c r="L26" s="31">
        <f t="shared" si="3"/>
        <v>4854.6000000000004</v>
      </c>
      <c r="M26" s="14">
        <f t="shared" si="4"/>
        <v>4854.6000000000004</v>
      </c>
    </row>
    <row r="27" spans="1:16" x14ac:dyDescent="0.25">
      <c r="A27" s="268" t="s">
        <v>113</v>
      </c>
      <c r="B27" s="269"/>
      <c r="C27" s="96">
        <v>0</v>
      </c>
      <c r="D27" s="203">
        <v>0</v>
      </c>
      <c r="E27" s="87">
        <v>0</v>
      </c>
      <c r="F27" s="8">
        <f>C27*E27</f>
        <v>0</v>
      </c>
      <c r="G27" s="88">
        <f>+F27*$C$1</f>
        <v>0</v>
      </c>
      <c r="H27" s="86">
        <v>2.5</v>
      </c>
      <c r="I27" s="203">
        <v>1</v>
      </c>
      <c r="J27" s="87">
        <v>200</v>
      </c>
      <c r="K27" s="8">
        <f t="shared" si="2"/>
        <v>500</v>
      </c>
      <c r="L27" s="88">
        <f t="shared" si="3"/>
        <v>10788</v>
      </c>
      <c r="M27" s="4">
        <f t="shared" si="4"/>
        <v>10788</v>
      </c>
    </row>
    <row r="28" spans="1:16" ht="15.75" thickBot="1" x14ac:dyDescent="0.3">
      <c r="A28" s="257" t="s">
        <v>114</v>
      </c>
      <c r="B28" s="258"/>
      <c r="C28" s="89">
        <v>0.1</v>
      </c>
      <c r="D28" s="193">
        <v>10</v>
      </c>
      <c r="E28" s="9">
        <v>300</v>
      </c>
      <c r="F28" s="99">
        <f>+E28*C28*D28</f>
        <v>300</v>
      </c>
      <c r="G28" s="97">
        <f>+F28*$C$1</f>
        <v>6472.8</v>
      </c>
      <c r="H28" s="98">
        <v>0.1</v>
      </c>
      <c r="I28" s="193">
        <v>16</v>
      </c>
      <c r="J28" s="9">
        <v>300</v>
      </c>
      <c r="K28" s="99">
        <f>+J28*H28*I28</f>
        <v>480</v>
      </c>
      <c r="L28" s="97">
        <f t="shared" si="3"/>
        <v>10356.48</v>
      </c>
      <c r="M28" s="5">
        <f t="shared" si="4"/>
        <v>16829.28</v>
      </c>
      <c r="O28" s="187"/>
      <c r="P28" s="70"/>
    </row>
    <row r="29" spans="1:16" ht="16.5" thickBot="1" x14ac:dyDescent="0.3">
      <c r="A29" s="253" t="s">
        <v>93</v>
      </c>
      <c r="B29" s="254"/>
      <c r="C29" s="214"/>
      <c r="D29" s="224"/>
      <c r="E29" s="224"/>
      <c r="F29" s="225">
        <f>SUM(F5:F28)</f>
        <v>6397.6</v>
      </c>
      <c r="G29" s="226">
        <f>+F29*C1</f>
        <v>138034.6176</v>
      </c>
      <c r="H29" s="226"/>
      <c r="I29" s="227"/>
      <c r="J29" s="225"/>
      <c r="K29" s="225">
        <f>SUM(K5:K28)</f>
        <v>19454.2</v>
      </c>
      <c r="L29" s="226">
        <f>K29*C1</f>
        <v>419743.81920000003</v>
      </c>
      <c r="M29" s="110">
        <f>+L29+G29</f>
        <v>557778.43680000002</v>
      </c>
    </row>
    <row r="30" spans="1:16" x14ac:dyDescent="0.25">
      <c r="G30" s="194"/>
      <c r="H30" s="195"/>
      <c r="I30" s="155"/>
      <c r="J30" s="155"/>
      <c r="K30" s="155"/>
      <c r="L30" s="194"/>
      <c r="O30" s="155"/>
      <c r="P30" s="194"/>
    </row>
  </sheetData>
  <sheetProtection algorithmName="SHA-512" hashValue="ab1qoIKeo7kDweXT0NDKWcJ6n0UvfosPwEi1fviriwN9k8O3OF6hEvPu/ADAbkXjNsKOfnV966GL+HVotD6SCQ==" saltValue="vcYbqIiXdwb5MnMBvJ6KPg==" spinCount="100000" sheet="1" objects="1" scenarios="1"/>
  <mergeCells count="15">
    <mergeCell ref="A29:B29"/>
    <mergeCell ref="A1:B1"/>
    <mergeCell ref="A28:B28"/>
    <mergeCell ref="A3:B4"/>
    <mergeCell ref="C3:G3"/>
    <mergeCell ref="A14:A16"/>
    <mergeCell ref="A17:A19"/>
    <mergeCell ref="A20:A22"/>
    <mergeCell ref="A27:B27"/>
    <mergeCell ref="D1:M1"/>
    <mergeCell ref="H3:L3"/>
    <mergeCell ref="M3:M4"/>
    <mergeCell ref="A5:A7"/>
    <mergeCell ref="A8:A10"/>
    <mergeCell ref="A11:A13"/>
  </mergeCells>
  <printOptions horizontalCentered="1"/>
  <pageMargins left="0.11811023622047245" right="0.11811023622047245" top="0.74803149606299213" bottom="0.74803149606299213" header="0.31496062992125984" footer="0.31496062992125984"/>
  <pageSetup paperSize="8" orientation="landscape" r:id="rId1"/>
  <headerFooter>
    <oddHeader>&amp;CAllegato 7 - Schede Tempi Operazioni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A9CFC-3879-43E0-8A78-B1CCB0C95D65}">
  <dimension ref="A1:X19"/>
  <sheetViews>
    <sheetView zoomScaleNormal="100" workbookViewId="0">
      <pane xSplit="2" ySplit="1" topLeftCell="G2" activePane="bottomRight" state="frozen"/>
      <selection pane="topRight" activeCell="C26" sqref="C26"/>
      <selection pane="bottomLeft" activeCell="C26" sqref="C26"/>
      <selection pane="bottomRight" activeCell="N18" sqref="N18"/>
    </sheetView>
  </sheetViews>
  <sheetFormatPr defaultColWidth="9.140625" defaultRowHeight="15" x14ac:dyDescent="0.25"/>
  <cols>
    <col min="1" max="1" width="28.28515625" style="66" customWidth="1"/>
    <col min="2" max="2" width="15.42578125" style="66" bestFit="1" customWidth="1"/>
    <col min="3" max="3" width="14.7109375" style="66" customWidth="1"/>
    <col min="4" max="4" width="12.140625" style="66" customWidth="1"/>
    <col min="5" max="5" width="13.7109375" style="66" customWidth="1"/>
    <col min="6" max="6" width="10.85546875" style="66" bestFit="1" customWidth="1"/>
    <col min="7" max="7" width="15.140625" style="66" bestFit="1" customWidth="1"/>
    <col min="8" max="8" width="14.85546875" style="66" bestFit="1" customWidth="1"/>
    <col min="9" max="9" width="15.140625" style="66" bestFit="1" customWidth="1"/>
    <col min="10" max="10" width="14.5703125" style="66" bestFit="1" customWidth="1"/>
    <col min="11" max="11" width="10.85546875" style="66" bestFit="1" customWidth="1"/>
    <col min="12" max="12" width="15.140625" style="66" bestFit="1" customWidth="1"/>
    <col min="13" max="14" width="17" style="66" bestFit="1" customWidth="1"/>
    <col min="15" max="15" width="14.5703125" style="66" bestFit="1" customWidth="1"/>
    <col min="16" max="16" width="8.5703125" style="66" bestFit="1" customWidth="1"/>
    <col min="17" max="17" width="16.7109375" style="66" bestFit="1" customWidth="1"/>
    <col min="18" max="18" width="17" style="66" bestFit="1" customWidth="1"/>
    <col min="19" max="19" width="14.85546875" style="66" bestFit="1" customWidth="1"/>
    <col min="20" max="20" width="18" style="66" customWidth="1"/>
    <col min="21" max="21" width="13.140625" style="66" bestFit="1" customWidth="1"/>
    <col min="22" max="23" width="11.140625" style="66" customWidth="1"/>
    <col min="24" max="24" width="10.28515625" style="66" bestFit="1" customWidth="1"/>
    <col min="25" max="16384" width="9.140625" style="66"/>
  </cols>
  <sheetData>
    <row r="1" spans="1:24" ht="34.5" thickBot="1" x14ac:dyDescent="0.3">
      <c r="A1" s="255" t="s">
        <v>70</v>
      </c>
      <c r="B1" s="256"/>
      <c r="C1" s="184">
        <f>+'Riepilogo Importi'!$G$2</f>
        <v>21.576000000000001</v>
      </c>
      <c r="D1" s="270" t="s">
        <v>71</v>
      </c>
      <c r="E1" s="271"/>
      <c r="F1" s="271"/>
      <c r="G1" s="271"/>
      <c r="H1" s="271"/>
      <c r="I1" s="271"/>
      <c r="J1" s="271"/>
      <c r="K1" s="271"/>
      <c r="L1" s="271"/>
      <c r="M1" s="271"/>
      <c r="N1" s="271"/>
      <c r="O1" s="271"/>
      <c r="P1" s="271"/>
      <c r="Q1" s="271"/>
      <c r="R1" s="271"/>
      <c r="S1" s="271"/>
      <c r="T1" s="281"/>
    </row>
    <row r="2" spans="1:24" ht="14.25" customHeight="1" thickBot="1" x14ac:dyDescent="0.3">
      <c r="A2" s="185"/>
      <c r="B2" s="185"/>
      <c r="C2" s="185"/>
      <c r="D2" s="185"/>
      <c r="E2" s="185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W2" s="155"/>
      <c r="X2" s="187"/>
    </row>
    <row r="3" spans="1:24" ht="15" customHeight="1" thickBot="1" x14ac:dyDescent="0.3">
      <c r="A3" s="259" t="s">
        <v>72</v>
      </c>
      <c r="B3" s="260"/>
      <c r="C3" s="284" t="s">
        <v>73</v>
      </c>
      <c r="D3" s="284" t="s">
        <v>74</v>
      </c>
      <c r="E3" s="286" t="s">
        <v>75</v>
      </c>
      <c r="F3" s="287"/>
      <c r="G3" s="287"/>
      <c r="H3" s="287"/>
      <c r="I3" s="288"/>
      <c r="J3" s="263" t="s">
        <v>76</v>
      </c>
      <c r="K3" s="264"/>
      <c r="L3" s="264"/>
      <c r="M3" s="264"/>
      <c r="N3" s="264"/>
      <c r="O3" s="272" t="s">
        <v>77</v>
      </c>
      <c r="P3" s="272"/>
      <c r="Q3" s="272"/>
      <c r="R3" s="272"/>
      <c r="S3" s="272"/>
      <c r="T3" s="188" t="s">
        <v>78</v>
      </c>
      <c r="W3" s="155"/>
      <c r="X3" s="187"/>
    </row>
    <row r="4" spans="1:24" ht="30" x14ac:dyDescent="0.25">
      <c r="A4" s="282"/>
      <c r="B4" s="283"/>
      <c r="C4" s="285"/>
      <c r="D4" s="285"/>
      <c r="E4" s="17" t="s">
        <v>79</v>
      </c>
      <c r="F4" s="189" t="s">
        <v>80</v>
      </c>
      <c r="G4" s="18" t="s">
        <v>81</v>
      </c>
      <c r="H4" s="177" t="s">
        <v>82</v>
      </c>
      <c r="I4" s="19" t="s">
        <v>83</v>
      </c>
      <c r="J4" s="17" t="s">
        <v>79</v>
      </c>
      <c r="K4" s="189" t="s">
        <v>80</v>
      </c>
      <c r="L4" s="18" t="s">
        <v>81</v>
      </c>
      <c r="M4" s="177" t="s">
        <v>82</v>
      </c>
      <c r="N4" s="19" t="s">
        <v>83</v>
      </c>
      <c r="O4" s="17" t="s">
        <v>79</v>
      </c>
      <c r="P4" s="189" t="s">
        <v>80</v>
      </c>
      <c r="Q4" s="18" t="s">
        <v>81</v>
      </c>
      <c r="R4" s="177" t="s">
        <v>82</v>
      </c>
      <c r="S4" s="19" t="s">
        <v>84</v>
      </c>
      <c r="T4" s="190"/>
      <c r="W4" s="155"/>
      <c r="X4" s="187"/>
    </row>
    <row r="5" spans="1:24" ht="23.25" customHeight="1" x14ac:dyDescent="0.25">
      <c r="A5" s="275" t="s">
        <v>49</v>
      </c>
      <c r="B5" s="276"/>
      <c r="C5" s="191" t="s">
        <v>85</v>
      </c>
      <c r="D5" s="192">
        <v>36</v>
      </c>
      <c r="E5" s="193">
        <v>34</v>
      </c>
      <c r="F5" s="20">
        <v>1.5</v>
      </c>
      <c r="G5" s="20">
        <f>+E5*$D5</f>
        <v>1224</v>
      </c>
      <c r="H5" s="20">
        <f>+$F5*G5</f>
        <v>1836</v>
      </c>
      <c r="I5" s="21">
        <f t="shared" ref="I5:I15" si="0">+H5*$C$1</f>
        <v>39613.536</v>
      </c>
      <c r="J5" s="193">
        <v>26</v>
      </c>
      <c r="K5" s="20">
        <v>1.5</v>
      </c>
      <c r="L5" s="20">
        <f>+J5*$D5</f>
        <v>936</v>
      </c>
      <c r="M5" s="20">
        <f t="shared" ref="M5:M13" si="1">+$K5*L5</f>
        <v>1404</v>
      </c>
      <c r="N5" s="21">
        <f t="shared" ref="N5:N15" si="2">+M5*$C$1</f>
        <v>30292.704000000002</v>
      </c>
      <c r="O5" s="193">
        <v>52</v>
      </c>
      <c r="P5" s="20">
        <v>1.5</v>
      </c>
      <c r="Q5" s="20">
        <f>+O5*$D5</f>
        <v>1872</v>
      </c>
      <c r="R5" s="22">
        <f t="shared" ref="R5:R7" si="3">+$P5*Q5</f>
        <v>2808</v>
      </c>
      <c r="S5" s="21">
        <f t="shared" ref="S5:S15" si="4">+R5*$C$1</f>
        <v>60585.408000000003</v>
      </c>
      <c r="T5" s="23">
        <f t="shared" ref="T5:T15" si="5">+I5+N5+S5</f>
        <v>130491.64800000002</v>
      </c>
      <c r="W5" s="155"/>
      <c r="X5" s="187"/>
    </row>
    <row r="6" spans="1:24" ht="23.25" customHeight="1" x14ac:dyDescent="0.25">
      <c r="A6" s="275" t="s">
        <v>51</v>
      </c>
      <c r="B6" s="276"/>
      <c r="C6" s="191" t="s">
        <v>86</v>
      </c>
      <c r="D6" s="192">
        <v>277</v>
      </c>
      <c r="E6" s="193">
        <v>34</v>
      </c>
      <c r="F6" s="20">
        <v>0.33</v>
      </c>
      <c r="G6" s="20">
        <f t="shared" ref="G6:G9" si="6">+E6*$D6</f>
        <v>9418</v>
      </c>
      <c r="H6" s="20">
        <f t="shared" ref="H6:H7" si="7">+$F6*G6</f>
        <v>3107.94</v>
      </c>
      <c r="I6" s="21">
        <f t="shared" si="0"/>
        <v>67056.913440000004</v>
      </c>
      <c r="J6" s="193">
        <v>26</v>
      </c>
      <c r="K6" s="20">
        <v>0.33</v>
      </c>
      <c r="L6" s="20">
        <f t="shared" ref="L6:L13" si="8">+J6*$D6</f>
        <v>7202</v>
      </c>
      <c r="M6" s="20">
        <f t="shared" si="1"/>
        <v>2376.6600000000003</v>
      </c>
      <c r="N6" s="21">
        <f t="shared" si="2"/>
        <v>51278.816160000009</v>
      </c>
      <c r="O6" s="193">
        <v>51</v>
      </c>
      <c r="P6" s="20">
        <v>0.33</v>
      </c>
      <c r="Q6" s="20">
        <f t="shared" ref="Q6:Q13" si="9">+O6*$D6</f>
        <v>14127</v>
      </c>
      <c r="R6" s="22">
        <f t="shared" si="3"/>
        <v>4661.91</v>
      </c>
      <c r="S6" s="21">
        <f t="shared" si="4"/>
        <v>100585.37016000001</v>
      </c>
      <c r="T6" s="23">
        <f t="shared" si="5"/>
        <v>218921.09976000001</v>
      </c>
      <c r="W6" s="155"/>
      <c r="X6" s="187"/>
    </row>
    <row r="7" spans="1:24" ht="23.25" customHeight="1" x14ac:dyDescent="0.25">
      <c r="A7" s="279" t="s">
        <v>53</v>
      </c>
      <c r="B7" s="280"/>
      <c r="C7" s="191" t="s">
        <v>88</v>
      </c>
      <c r="D7" s="192">
        <v>200</v>
      </c>
      <c r="E7" s="193">
        <v>33</v>
      </c>
      <c r="F7" s="20">
        <v>0.08</v>
      </c>
      <c r="G7" s="20">
        <f>+E7*$D7</f>
        <v>6600</v>
      </c>
      <c r="H7" s="20">
        <f t="shared" si="7"/>
        <v>528</v>
      </c>
      <c r="I7" s="21">
        <f t="shared" si="0"/>
        <v>11392.128000000001</v>
      </c>
      <c r="J7" s="193">
        <v>26</v>
      </c>
      <c r="K7" s="20">
        <v>0.08</v>
      </c>
      <c r="L7" s="20">
        <f t="shared" si="8"/>
        <v>5200</v>
      </c>
      <c r="M7" s="20">
        <f t="shared" si="1"/>
        <v>416</v>
      </c>
      <c r="N7" s="21">
        <f t="shared" si="2"/>
        <v>8975.616</v>
      </c>
      <c r="O7" s="193">
        <v>52</v>
      </c>
      <c r="P7" s="20">
        <v>0.08</v>
      </c>
      <c r="Q7" s="20">
        <f t="shared" si="9"/>
        <v>10400</v>
      </c>
      <c r="R7" s="22">
        <f t="shared" si="3"/>
        <v>832</v>
      </c>
      <c r="S7" s="21">
        <f t="shared" si="4"/>
        <v>17951.232</v>
      </c>
      <c r="T7" s="23">
        <f t="shared" si="5"/>
        <v>38318.975999999995</v>
      </c>
    </row>
    <row r="8" spans="1:24" ht="23.25" customHeight="1" x14ac:dyDescent="0.25">
      <c r="A8" s="279" t="s">
        <v>54</v>
      </c>
      <c r="B8" s="280"/>
      <c r="C8" s="191" t="s">
        <v>90</v>
      </c>
      <c r="D8" s="192">
        <v>2</v>
      </c>
      <c r="E8" s="193">
        <v>34</v>
      </c>
      <c r="F8" s="20">
        <v>8</v>
      </c>
      <c r="G8" s="20">
        <f t="shared" si="6"/>
        <v>68</v>
      </c>
      <c r="H8" s="20">
        <f>+$F8*G8</f>
        <v>544</v>
      </c>
      <c r="I8" s="21">
        <f t="shared" si="0"/>
        <v>11737.344000000001</v>
      </c>
      <c r="J8" s="193">
        <v>26</v>
      </c>
      <c r="K8" s="20">
        <v>8</v>
      </c>
      <c r="L8" s="20">
        <f t="shared" si="8"/>
        <v>52</v>
      </c>
      <c r="M8" s="20">
        <f t="shared" si="1"/>
        <v>416</v>
      </c>
      <c r="N8" s="21">
        <f t="shared" si="2"/>
        <v>8975.616</v>
      </c>
      <c r="O8" s="193">
        <v>52</v>
      </c>
      <c r="P8" s="20">
        <v>8</v>
      </c>
      <c r="Q8" s="20">
        <f t="shared" si="9"/>
        <v>104</v>
      </c>
      <c r="R8" s="20">
        <f>+$F8*Q8</f>
        <v>832</v>
      </c>
      <c r="S8" s="21">
        <f t="shared" si="4"/>
        <v>17951.232</v>
      </c>
      <c r="T8" s="23">
        <f t="shared" si="5"/>
        <v>38664.191999999995</v>
      </c>
      <c r="U8" s="155"/>
      <c r="V8" s="170"/>
    </row>
    <row r="9" spans="1:24" ht="23.25" customHeight="1" x14ac:dyDescent="0.25">
      <c r="A9" s="275" t="s">
        <v>55</v>
      </c>
      <c r="B9" s="276"/>
      <c r="C9" s="191" t="s">
        <v>85</v>
      </c>
      <c r="D9" s="192">
        <v>36</v>
      </c>
      <c r="E9" s="193">
        <v>0</v>
      </c>
      <c r="F9" s="20">
        <v>1.5</v>
      </c>
      <c r="G9" s="20">
        <f t="shared" si="6"/>
        <v>0</v>
      </c>
      <c r="H9" s="20">
        <f t="shared" ref="H9:H15" si="10">+$F9*G9</f>
        <v>0</v>
      </c>
      <c r="I9" s="21">
        <f t="shared" si="0"/>
        <v>0</v>
      </c>
      <c r="J9" s="193">
        <v>12</v>
      </c>
      <c r="K9" s="20">
        <v>1.5</v>
      </c>
      <c r="L9" s="20">
        <f t="shared" si="8"/>
        <v>432</v>
      </c>
      <c r="M9" s="20">
        <f t="shared" si="1"/>
        <v>648</v>
      </c>
      <c r="N9" s="21">
        <f t="shared" si="2"/>
        <v>13981.248</v>
      </c>
      <c r="O9" s="193">
        <v>0</v>
      </c>
      <c r="P9" s="20">
        <v>1.5</v>
      </c>
      <c r="Q9" s="20">
        <f t="shared" si="9"/>
        <v>0</v>
      </c>
      <c r="R9" s="22">
        <f>+$F9*Q9</f>
        <v>0</v>
      </c>
      <c r="S9" s="21">
        <f t="shared" si="4"/>
        <v>0</v>
      </c>
      <c r="T9" s="23">
        <f t="shared" si="5"/>
        <v>13981.248</v>
      </c>
    </row>
    <row r="10" spans="1:24" ht="23.25" customHeight="1" x14ac:dyDescent="0.25">
      <c r="A10" s="275" t="s">
        <v>56</v>
      </c>
      <c r="B10" s="276"/>
      <c r="C10" s="191" t="s">
        <v>86</v>
      </c>
      <c r="D10" s="192">
        <v>277</v>
      </c>
      <c r="E10" s="193">
        <v>0</v>
      </c>
      <c r="F10" s="20">
        <v>0.33</v>
      </c>
      <c r="G10" s="20">
        <f>+E10*$D10</f>
        <v>0</v>
      </c>
      <c r="H10" s="20">
        <f t="shared" si="10"/>
        <v>0</v>
      </c>
      <c r="I10" s="21">
        <f t="shared" si="0"/>
        <v>0</v>
      </c>
      <c r="J10" s="193">
        <v>12</v>
      </c>
      <c r="K10" s="20">
        <v>0.33</v>
      </c>
      <c r="L10" s="20">
        <f t="shared" si="8"/>
        <v>3324</v>
      </c>
      <c r="M10" s="20">
        <f t="shared" si="1"/>
        <v>1096.92</v>
      </c>
      <c r="N10" s="21">
        <f t="shared" si="2"/>
        <v>23667.145920000003</v>
      </c>
      <c r="O10" s="193">
        <v>0</v>
      </c>
      <c r="P10" s="20">
        <v>0.33</v>
      </c>
      <c r="Q10" s="20">
        <f t="shared" si="9"/>
        <v>0</v>
      </c>
      <c r="R10" s="22">
        <f>+$F10*Q10</f>
        <v>0</v>
      </c>
      <c r="S10" s="21">
        <f t="shared" si="4"/>
        <v>0</v>
      </c>
      <c r="T10" s="23">
        <f t="shared" si="5"/>
        <v>23667.145920000003</v>
      </c>
    </row>
    <row r="11" spans="1:24" ht="23.25" customHeight="1" x14ac:dyDescent="0.25">
      <c r="A11" s="279" t="s">
        <v>167</v>
      </c>
      <c r="B11" s="280"/>
      <c r="C11" s="191" t="s">
        <v>88</v>
      </c>
      <c r="D11" s="192">
        <v>200</v>
      </c>
      <c r="E11" s="193">
        <v>0</v>
      </c>
      <c r="F11" s="20">
        <v>0.08</v>
      </c>
      <c r="G11" s="20">
        <f>+E11*$D11</f>
        <v>0</v>
      </c>
      <c r="H11" s="20">
        <f t="shared" si="10"/>
        <v>0</v>
      </c>
      <c r="I11" s="21">
        <f t="shared" si="0"/>
        <v>0</v>
      </c>
      <c r="J11" s="193">
        <v>12</v>
      </c>
      <c r="K11" s="20">
        <v>0.08</v>
      </c>
      <c r="L11" s="20">
        <f t="shared" si="8"/>
        <v>2400</v>
      </c>
      <c r="M11" s="20">
        <f t="shared" si="1"/>
        <v>192</v>
      </c>
      <c r="N11" s="21">
        <f t="shared" si="2"/>
        <v>4142.5920000000006</v>
      </c>
      <c r="O11" s="193">
        <v>0</v>
      </c>
      <c r="P11" s="20">
        <v>0.08</v>
      </c>
      <c r="Q11" s="20">
        <f t="shared" si="9"/>
        <v>0</v>
      </c>
      <c r="R11" s="22">
        <f t="shared" ref="R11" si="11">+$P11*Q11</f>
        <v>0</v>
      </c>
      <c r="S11" s="21">
        <f t="shared" si="4"/>
        <v>0</v>
      </c>
      <c r="T11" s="23">
        <f t="shared" si="5"/>
        <v>4142.5920000000006</v>
      </c>
    </row>
    <row r="12" spans="1:24" ht="23.25" customHeight="1" x14ac:dyDescent="0.25">
      <c r="A12" s="279" t="s">
        <v>164</v>
      </c>
      <c r="B12" s="280"/>
      <c r="C12" s="191" t="s">
        <v>86</v>
      </c>
      <c r="D12" s="192">
        <v>277</v>
      </c>
      <c r="E12" s="193">
        <v>0</v>
      </c>
      <c r="F12" s="20">
        <v>0.33</v>
      </c>
      <c r="G12" s="20">
        <f>+E12*$D12</f>
        <v>0</v>
      </c>
      <c r="H12" s="20">
        <f t="shared" si="10"/>
        <v>0</v>
      </c>
      <c r="I12" s="21">
        <f t="shared" si="0"/>
        <v>0</v>
      </c>
      <c r="J12" s="193">
        <v>0</v>
      </c>
      <c r="K12" s="20">
        <v>0.33</v>
      </c>
      <c r="L12" s="20">
        <f t="shared" si="8"/>
        <v>0</v>
      </c>
      <c r="M12" s="20">
        <f t="shared" si="1"/>
        <v>0</v>
      </c>
      <c r="N12" s="21">
        <f t="shared" si="2"/>
        <v>0</v>
      </c>
      <c r="O12" s="193">
        <v>1</v>
      </c>
      <c r="P12" s="20">
        <v>0.33</v>
      </c>
      <c r="Q12" s="20">
        <f t="shared" si="9"/>
        <v>277</v>
      </c>
      <c r="R12" s="20">
        <f>+$F12*Q12</f>
        <v>91.410000000000011</v>
      </c>
      <c r="S12" s="21">
        <f t="shared" si="4"/>
        <v>1972.2621600000002</v>
      </c>
      <c r="T12" s="23">
        <f t="shared" si="5"/>
        <v>1972.2621600000002</v>
      </c>
    </row>
    <row r="13" spans="1:24" ht="23.25" customHeight="1" x14ac:dyDescent="0.25">
      <c r="A13" s="279" t="s">
        <v>165</v>
      </c>
      <c r="B13" s="280"/>
      <c r="C13" s="191" t="s">
        <v>166</v>
      </c>
      <c r="D13" s="192">
        <v>12</v>
      </c>
      <c r="E13" s="193">
        <v>2</v>
      </c>
      <c r="F13" s="20">
        <v>0.5</v>
      </c>
      <c r="G13" s="20">
        <f t="shared" ref="G13" si="12">+E13*$D13</f>
        <v>24</v>
      </c>
      <c r="H13" s="20">
        <f>+$F13*G13</f>
        <v>12</v>
      </c>
      <c r="I13" s="21">
        <f t="shared" si="0"/>
        <v>258.91200000000003</v>
      </c>
      <c r="J13" s="193">
        <v>12</v>
      </c>
      <c r="K13" s="20">
        <v>0.5</v>
      </c>
      <c r="L13" s="20">
        <f t="shared" si="8"/>
        <v>144</v>
      </c>
      <c r="M13" s="20">
        <f t="shared" si="1"/>
        <v>72</v>
      </c>
      <c r="N13" s="21">
        <f t="shared" si="2"/>
        <v>1553.472</v>
      </c>
      <c r="O13" s="193">
        <v>15</v>
      </c>
      <c r="P13" s="20">
        <v>0.5</v>
      </c>
      <c r="Q13" s="20">
        <f t="shared" si="9"/>
        <v>180</v>
      </c>
      <c r="R13" s="20">
        <f>+$F13*Q13</f>
        <v>90</v>
      </c>
      <c r="S13" s="21">
        <f t="shared" si="4"/>
        <v>1941.8400000000001</v>
      </c>
      <c r="T13" s="23">
        <f t="shared" si="5"/>
        <v>3754.2240000000002</v>
      </c>
    </row>
    <row r="14" spans="1:24" ht="23.25" customHeight="1" x14ac:dyDescent="0.25">
      <c r="A14" s="275" t="s">
        <v>91</v>
      </c>
      <c r="B14" s="276"/>
      <c r="C14" s="191"/>
      <c r="D14" s="25">
        <v>0</v>
      </c>
      <c r="E14" s="24">
        <v>0</v>
      </c>
      <c r="F14" s="20">
        <v>0.05</v>
      </c>
      <c r="G14" s="20">
        <f>+E14*$D14</f>
        <v>0</v>
      </c>
      <c r="H14" s="20">
        <f t="shared" si="10"/>
        <v>0</v>
      </c>
      <c r="I14" s="21">
        <f t="shared" si="0"/>
        <v>0</v>
      </c>
      <c r="J14" s="24">
        <v>0</v>
      </c>
      <c r="K14" s="20">
        <v>0.05</v>
      </c>
      <c r="L14" s="20">
        <f>+J14*$D14</f>
        <v>0</v>
      </c>
      <c r="M14" s="20">
        <f t="shared" ref="M14:M15" si="13">+$F14*L14</f>
        <v>0</v>
      </c>
      <c r="N14" s="21">
        <f t="shared" si="2"/>
        <v>0</v>
      </c>
      <c r="O14" s="24">
        <v>0</v>
      </c>
      <c r="P14" s="20">
        <v>0.05</v>
      </c>
      <c r="Q14" s="20">
        <f>+O14*$D14</f>
        <v>0</v>
      </c>
      <c r="R14" s="20">
        <f t="shared" ref="R14:R15" si="14">+$F14*Q14</f>
        <v>0</v>
      </c>
      <c r="S14" s="21">
        <f t="shared" si="4"/>
        <v>0</v>
      </c>
      <c r="T14" s="24">
        <f t="shared" si="5"/>
        <v>0</v>
      </c>
    </row>
    <row r="15" spans="1:24" ht="23.25" customHeight="1" x14ac:dyDescent="0.25">
      <c r="A15" s="275" t="s">
        <v>92</v>
      </c>
      <c r="B15" s="276"/>
      <c r="C15" s="191"/>
      <c r="D15" s="25">
        <v>0</v>
      </c>
      <c r="E15" s="24">
        <v>0</v>
      </c>
      <c r="F15" s="20">
        <v>0.5</v>
      </c>
      <c r="G15" s="20">
        <f t="shared" ref="G15" si="15">+E15*$D15</f>
        <v>0</v>
      </c>
      <c r="H15" s="20">
        <f t="shared" si="10"/>
        <v>0</v>
      </c>
      <c r="I15" s="21">
        <f t="shared" si="0"/>
        <v>0</v>
      </c>
      <c r="J15" s="24">
        <v>0</v>
      </c>
      <c r="K15" s="20">
        <v>0.5</v>
      </c>
      <c r="L15" s="20">
        <f t="shared" ref="L15" si="16">+J15*$D15</f>
        <v>0</v>
      </c>
      <c r="M15" s="20">
        <f t="shared" si="13"/>
        <v>0</v>
      </c>
      <c r="N15" s="21">
        <f t="shared" si="2"/>
        <v>0</v>
      </c>
      <c r="O15" s="24">
        <v>0</v>
      </c>
      <c r="P15" s="20">
        <v>0.5</v>
      </c>
      <c r="Q15" s="20">
        <f t="shared" ref="Q15" si="17">+O15*$D15</f>
        <v>0</v>
      </c>
      <c r="R15" s="20">
        <f t="shared" si="14"/>
        <v>0</v>
      </c>
      <c r="S15" s="21">
        <f t="shared" si="4"/>
        <v>0</v>
      </c>
      <c r="T15" s="24">
        <f t="shared" si="5"/>
        <v>0</v>
      </c>
    </row>
    <row r="16" spans="1:24" ht="16.5" thickBot="1" x14ac:dyDescent="0.3">
      <c r="A16" s="277" t="s">
        <v>93</v>
      </c>
      <c r="B16" s="278"/>
      <c r="C16" s="217"/>
      <c r="D16" s="218"/>
      <c r="E16" s="219"/>
      <c r="F16" s="220"/>
      <c r="G16" s="220"/>
      <c r="H16" s="220">
        <f>SUM(H5:H15)</f>
        <v>6027.9400000000005</v>
      </c>
      <c r="I16" s="221">
        <f>SUM(I5:I15)</f>
        <v>130058.83343999999</v>
      </c>
      <c r="J16" s="222"/>
      <c r="K16" s="220"/>
      <c r="L16" s="220"/>
      <c r="M16" s="220">
        <f>SUM(M5:M15)</f>
        <v>6621.58</v>
      </c>
      <c r="N16" s="221">
        <f>SUM(N5:N15)</f>
        <v>142867.21008000002</v>
      </c>
      <c r="O16" s="222"/>
      <c r="P16" s="220"/>
      <c r="Q16" s="220"/>
      <c r="R16" s="220">
        <f>SUM(R5:R15)</f>
        <v>9315.32</v>
      </c>
      <c r="S16" s="221">
        <f>SUM(S5:S15)</f>
        <v>200987.34432</v>
      </c>
      <c r="T16" s="223">
        <f>+I16+N16+S16</f>
        <v>473913.38783999998</v>
      </c>
    </row>
    <row r="17" spans="5:20" x14ac:dyDescent="0.25">
      <c r="E17" s="66">
        <v>0</v>
      </c>
      <c r="T17" s="70"/>
    </row>
    <row r="18" spans="5:20" x14ac:dyDescent="0.25">
      <c r="G18" s="194"/>
      <c r="H18" s="195"/>
      <c r="I18" s="155"/>
      <c r="J18" s="155"/>
      <c r="K18" s="155"/>
      <c r="L18" s="194"/>
      <c r="N18" s="170"/>
      <c r="O18" s="155"/>
      <c r="P18" s="194"/>
    </row>
    <row r="19" spans="5:20" x14ac:dyDescent="0.25">
      <c r="N19" s="170"/>
    </row>
  </sheetData>
  <sheetProtection algorithmName="SHA-512" hashValue="7wugzromx6Vtta3iO8q4ycjEYRiqZKAWgEIh80LlsGhlei3JAMlHyK+RfM56FNJ1rOXxJY3WcS5sSv53ufPIJQ==" saltValue="yusCmleEaSVdFEEidQ7Cxg==" spinCount="100000" sheet="1" objects="1" scenarios="1"/>
  <mergeCells count="20">
    <mergeCell ref="A5:B5"/>
    <mergeCell ref="A6:B6"/>
    <mergeCell ref="A7:B7"/>
    <mergeCell ref="A1:B1"/>
    <mergeCell ref="D1:T1"/>
    <mergeCell ref="A3:B4"/>
    <mergeCell ref="C3:C4"/>
    <mergeCell ref="D3:D4"/>
    <mergeCell ref="E3:I3"/>
    <mergeCell ref="J3:N3"/>
    <mergeCell ref="O3:S3"/>
    <mergeCell ref="A14:B14"/>
    <mergeCell ref="A15:B15"/>
    <mergeCell ref="A16:B16"/>
    <mergeCell ref="A8:B8"/>
    <mergeCell ref="A9:B9"/>
    <mergeCell ref="A10:B10"/>
    <mergeCell ref="A11:B11"/>
    <mergeCell ref="A12:B12"/>
    <mergeCell ref="A13:B13"/>
  </mergeCells>
  <printOptions horizontalCentered="1"/>
  <pageMargins left="0.11811023622047245" right="0.11811023622047245" top="0.74803149606299213" bottom="0.74803149606299213" header="0.31496062992125984" footer="0.31496062992125984"/>
  <pageSetup paperSize="8" scale="54" orientation="landscape" r:id="rId1"/>
  <headerFooter>
    <oddHeader>&amp;CAllegato 7 - Schede Tempi Operazioni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96B45-A1FB-423B-9D79-F5CE025FC79D}">
  <sheetPr>
    <pageSetUpPr fitToPage="1"/>
  </sheetPr>
  <dimension ref="B2:N39"/>
  <sheetViews>
    <sheetView zoomScaleNormal="100" workbookViewId="0">
      <pane xSplit="3" ySplit="5" topLeftCell="D6" activePane="bottomRight" state="frozen"/>
      <selection pane="topRight" activeCell="C26" sqref="C26"/>
      <selection pane="bottomLeft" activeCell="C26" sqref="C26"/>
      <selection pane="bottomRight" activeCell="F17" sqref="F17"/>
    </sheetView>
  </sheetViews>
  <sheetFormatPr defaultRowHeight="15" x14ac:dyDescent="0.25"/>
  <cols>
    <col min="1" max="1" width="9.140625" style="66"/>
    <col min="2" max="2" width="43.85546875" style="66" customWidth="1"/>
    <col min="3" max="9" width="18.85546875" style="66" customWidth="1"/>
    <col min="10" max="11" width="29.28515625" style="66" customWidth="1"/>
    <col min="12" max="12" width="18.85546875" style="66" bestFit="1" customWidth="1"/>
    <col min="13" max="13" width="46.85546875" style="66" bestFit="1" customWidth="1"/>
    <col min="14" max="14" width="26.140625" style="66" bestFit="1" customWidth="1"/>
    <col min="15" max="16384" width="9.140625" style="66"/>
  </cols>
  <sheetData>
    <row r="2" spans="2:14" ht="15.75" thickBot="1" x14ac:dyDescent="0.3"/>
    <row r="3" spans="2:14" ht="19.5" thickBot="1" x14ac:dyDescent="0.3">
      <c r="B3" s="250" t="s">
        <v>116</v>
      </c>
      <c r="C3" s="251"/>
      <c r="D3" s="251"/>
      <c r="E3" s="251"/>
      <c r="F3" s="251"/>
      <c r="G3" s="251"/>
      <c r="H3" s="251"/>
      <c r="I3" s="251"/>
      <c r="J3" s="252"/>
    </row>
    <row r="4" spans="2:14" ht="15.75" thickBot="1" x14ac:dyDescent="0.3">
      <c r="B4" s="289"/>
      <c r="C4" s="289"/>
      <c r="D4" s="289"/>
      <c r="E4" s="289"/>
      <c r="F4" s="289"/>
      <c r="G4" s="289"/>
      <c r="H4" s="289"/>
      <c r="I4" s="290" t="s">
        <v>117</v>
      </c>
      <c r="J4" s="291"/>
    </row>
    <row r="5" spans="2:14" s="70" customFormat="1" ht="31.5" customHeight="1" thickBot="1" x14ac:dyDescent="0.3">
      <c r="B5" s="67" t="s">
        <v>118</v>
      </c>
      <c r="C5" s="35" t="s">
        <v>119</v>
      </c>
      <c r="D5" s="35" t="s">
        <v>64</v>
      </c>
      <c r="E5" s="35" t="s">
        <v>120</v>
      </c>
      <c r="F5" s="35" t="s">
        <v>121</v>
      </c>
      <c r="G5" s="35" t="s">
        <v>64</v>
      </c>
      <c r="H5" s="35" t="s">
        <v>120</v>
      </c>
      <c r="I5" s="35" t="s">
        <v>122</v>
      </c>
      <c r="J5" s="68" t="s">
        <v>123</v>
      </c>
      <c r="K5" s="69"/>
    </row>
    <row r="6" spans="2:14" s="70" customFormat="1" ht="21.75" customHeight="1" x14ac:dyDescent="0.25">
      <c r="B6" s="71" t="s">
        <v>218</v>
      </c>
      <c r="C6" s="15">
        <v>400</v>
      </c>
      <c r="D6" s="15" t="s">
        <v>67</v>
      </c>
      <c r="E6" s="72">
        <f>6*(365-52-13)</f>
        <v>1800</v>
      </c>
      <c r="F6" s="15"/>
      <c r="G6" s="15"/>
      <c r="H6" s="15"/>
      <c r="I6" s="73">
        <f t="shared" ref="I6:I33" si="0">E6+H6</f>
        <v>1800</v>
      </c>
      <c r="J6" s="74">
        <f>I6*'Riepilogo Importi'!$G$2</f>
        <v>38836.800000000003</v>
      </c>
      <c r="K6" s="69"/>
    </row>
    <row r="7" spans="2:14" ht="21.75" customHeight="1" x14ac:dyDescent="0.25">
      <c r="B7" s="71" t="s">
        <v>124</v>
      </c>
      <c r="C7" s="15">
        <v>150</v>
      </c>
      <c r="D7" s="15" t="s">
        <v>67</v>
      </c>
      <c r="E7" s="72">
        <v>1000</v>
      </c>
      <c r="F7" s="15">
        <v>3</v>
      </c>
      <c r="G7" s="15" t="s">
        <v>125</v>
      </c>
      <c r="H7" s="15">
        <f>((F7*10000)/1000)*12</f>
        <v>360</v>
      </c>
      <c r="I7" s="73">
        <f t="shared" si="0"/>
        <v>1360</v>
      </c>
      <c r="J7" s="74">
        <f>I7*'Riepilogo Importi'!$G$2</f>
        <v>29343.360000000001</v>
      </c>
      <c r="L7" s="16"/>
      <c r="N7" s="75"/>
    </row>
    <row r="8" spans="2:14" ht="21.75" customHeight="1" x14ac:dyDescent="0.25">
      <c r="B8" s="71" t="s">
        <v>126</v>
      </c>
      <c r="C8" s="15">
        <v>150</v>
      </c>
      <c r="D8" s="15" t="s">
        <v>67</v>
      </c>
      <c r="E8" s="72">
        <v>140</v>
      </c>
      <c r="F8" s="15">
        <v>1</v>
      </c>
      <c r="G8" s="15" t="s">
        <v>125</v>
      </c>
      <c r="H8" s="15">
        <v>60</v>
      </c>
      <c r="I8" s="73">
        <f t="shared" si="0"/>
        <v>200</v>
      </c>
      <c r="J8" s="74">
        <f>I8*'Riepilogo Importi'!$G$2</f>
        <v>4315.2</v>
      </c>
      <c r="L8" s="16"/>
      <c r="N8" s="75"/>
    </row>
    <row r="9" spans="2:14" ht="21.75" customHeight="1" x14ac:dyDescent="0.25">
      <c r="B9" s="71" t="s">
        <v>127</v>
      </c>
      <c r="C9" s="15">
        <v>150</v>
      </c>
      <c r="D9" s="15" t="s">
        <v>67</v>
      </c>
      <c r="E9" s="72">
        <v>1000</v>
      </c>
      <c r="F9" s="15">
        <v>1</v>
      </c>
      <c r="G9" s="15" t="s">
        <v>125</v>
      </c>
      <c r="H9" s="15">
        <f>((F9*10000)/1000)*12</f>
        <v>120</v>
      </c>
      <c r="I9" s="73">
        <f t="shared" si="0"/>
        <v>1120</v>
      </c>
      <c r="J9" s="74">
        <f>I9*'Riepilogo Importi'!$G$2</f>
        <v>24165.119999999999</v>
      </c>
      <c r="K9"/>
      <c r="L9" s="16"/>
      <c r="N9" s="75"/>
    </row>
    <row r="10" spans="2:14" ht="21.75" customHeight="1" x14ac:dyDescent="0.25">
      <c r="B10" s="71" t="s">
        <v>130</v>
      </c>
      <c r="C10" s="15">
        <v>150</v>
      </c>
      <c r="D10" s="15" t="s">
        <v>67</v>
      </c>
      <c r="E10" s="72">
        <v>140</v>
      </c>
      <c r="F10" s="15">
        <v>1</v>
      </c>
      <c r="G10" s="15" t="s">
        <v>125</v>
      </c>
      <c r="H10" s="15">
        <v>60</v>
      </c>
      <c r="I10" s="73">
        <f t="shared" si="0"/>
        <v>200</v>
      </c>
      <c r="J10" s="74">
        <f>I10*'Riepilogo Importi'!$G$2</f>
        <v>4315.2</v>
      </c>
      <c r="K10"/>
      <c r="L10" s="16"/>
      <c r="N10" s="75"/>
    </row>
    <row r="11" spans="2:14" ht="21.75" customHeight="1" x14ac:dyDescent="0.25">
      <c r="B11" s="71" t="s">
        <v>132</v>
      </c>
      <c r="C11" s="15">
        <v>150</v>
      </c>
      <c r="D11" s="15" t="s">
        <v>67</v>
      </c>
      <c r="E11" s="72">
        <v>600</v>
      </c>
      <c r="F11" s="15">
        <v>1</v>
      </c>
      <c r="G11" s="15" t="s">
        <v>133</v>
      </c>
      <c r="H11" s="15">
        <v>360</v>
      </c>
      <c r="I11" s="73">
        <f t="shared" si="0"/>
        <v>960</v>
      </c>
      <c r="J11" s="74">
        <f>I11*'Riepilogo Importi'!$G$2</f>
        <v>20712.96</v>
      </c>
      <c r="K11"/>
      <c r="L11" s="16"/>
      <c r="N11" s="75"/>
    </row>
    <row r="12" spans="2:14" ht="21.75" customHeight="1" x14ac:dyDescent="0.25">
      <c r="B12" s="71" t="s">
        <v>134</v>
      </c>
      <c r="C12" s="15"/>
      <c r="D12" s="15" t="s">
        <v>67</v>
      </c>
      <c r="E12" s="72">
        <v>1800</v>
      </c>
      <c r="F12" s="15">
        <v>1</v>
      </c>
      <c r="G12" s="15"/>
      <c r="H12" s="15"/>
      <c r="I12" s="73">
        <f t="shared" si="0"/>
        <v>1800</v>
      </c>
      <c r="J12" s="74">
        <f>I12*'Riepilogo Importi'!$G$2</f>
        <v>38836.800000000003</v>
      </c>
      <c r="K12"/>
      <c r="L12" s="16"/>
      <c r="N12" s="75"/>
    </row>
    <row r="13" spans="2:14" ht="21.75" customHeight="1" x14ac:dyDescent="0.25">
      <c r="B13" s="71" t="s">
        <v>135</v>
      </c>
      <c r="C13" s="15">
        <v>150</v>
      </c>
      <c r="D13" s="15" t="s">
        <v>67</v>
      </c>
      <c r="E13" s="72">
        <v>900</v>
      </c>
      <c r="F13" s="15">
        <v>1</v>
      </c>
      <c r="G13" s="15" t="s">
        <v>125</v>
      </c>
      <c r="H13" s="15">
        <v>120</v>
      </c>
      <c r="I13" s="73">
        <f t="shared" si="0"/>
        <v>1020</v>
      </c>
      <c r="J13" s="74">
        <f>I13*'Riepilogo Importi'!$G$2</f>
        <v>22007.52</v>
      </c>
      <c r="K13"/>
      <c r="L13" s="16"/>
      <c r="N13" s="75"/>
    </row>
    <row r="14" spans="2:14" ht="21.75" customHeight="1" x14ac:dyDescent="0.25">
      <c r="B14" s="71" t="s">
        <v>136</v>
      </c>
      <c r="C14" s="15">
        <v>150</v>
      </c>
      <c r="D14" s="15" t="s">
        <v>67</v>
      </c>
      <c r="E14" s="72">
        <f>3*300</f>
        <v>900</v>
      </c>
      <c r="F14" s="15">
        <v>1</v>
      </c>
      <c r="G14" s="15" t="s">
        <v>125</v>
      </c>
      <c r="H14" s="15">
        <v>60</v>
      </c>
      <c r="I14" s="73">
        <f t="shared" si="0"/>
        <v>960</v>
      </c>
      <c r="J14" s="74">
        <f>I14*'Riepilogo Importi'!$G$2</f>
        <v>20712.96</v>
      </c>
      <c r="K14"/>
      <c r="L14" s="16"/>
      <c r="N14" s="75"/>
    </row>
    <row r="15" spans="2:14" ht="21.75" customHeight="1" x14ac:dyDescent="0.25">
      <c r="B15" s="71" t="s">
        <v>137</v>
      </c>
      <c r="C15" s="15">
        <v>150</v>
      </c>
      <c r="D15" s="15" t="s">
        <v>67</v>
      </c>
      <c r="E15" s="72">
        <v>900</v>
      </c>
      <c r="F15" s="15">
        <v>1</v>
      </c>
      <c r="G15" s="15" t="s">
        <v>125</v>
      </c>
      <c r="H15" s="15">
        <v>120</v>
      </c>
      <c r="I15" s="73">
        <f t="shared" si="0"/>
        <v>1020</v>
      </c>
      <c r="J15" s="74">
        <f>I15*'Riepilogo Importi'!$G$2</f>
        <v>22007.52</v>
      </c>
      <c r="K15"/>
      <c r="L15" s="16"/>
      <c r="N15" s="75"/>
    </row>
    <row r="16" spans="2:14" ht="21.75" customHeight="1" x14ac:dyDescent="0.25">
      <c r="B16" s="71" t="s">
        <v>138</v>
      </c>
      <c r="C16" s="15">
        <v>150</v>
      </c>
      <c r="D16" s="15" t="s">
        <v>67</v>
      </c>
      <c r="E16" s="72">
        <v>140</v>
      </c>
      <c r="F16" s="15"/>
      <c r="G16" s="15"/>
      <c r="H16" s="15"/>
      <c r="I16" s="73">
        <f>+E16</f>
        <v>140</v>
      </c>
      <c r="J16" s="74">
        <f>I16*'Riepilogo Importi'!$G$2</f>
        <v>3020.64</v>
      </c>
      <c r="K16"/>
      <c r="L16" s="16"/>
      <c r="N16" s="75"/>
    </row>
    <row r="17" spans="2:14" ht="21.75" customHeight="1" x14ac:dyDescent="0.25">
      <c r="B17" s="71" t="s">
        <v>139</v>
      </c>
      <c r="C17" s="15">
        <v>150</v>
      </c>
      <c r="D17" s="15" t="s">
        <v>67</v>
      </c>
      <c r="E17" s="72">
        <v>140</v>
      </c>
      <c r="F17" s="15">
        <v>1</v>
      </c>
      <c r="G17" s="15" t="s">
        <v>125</v>
      </c>
      <c r="H17" s="15">
        <v>60</v>
      </c>
      <c r="I17" s="73">
        <f t="shared" si="0"/>
        <v>200</v>
      </c>
      <c r="J17" s="74">
        <f>I17*'Riepilogo Importi'!$G$2</f>
        <v>4315.2</v>
      </c>
      <c r="K17"/>
      <c r="L17" s="16"/>
      <c r="N17" s="75"/>
    </row>
    <row r="18" spans="2:14" ht="21.75" customHeight="1" x14ac:dyDescent="0.25">
      <c r="B18" s="71" t="s">
        <v>140</v>
      </c>
      <c r="C18" s="15">
        <v>150</v>
      </c>
      <c r="D18" s="15" t="s">
        <v>67</v>
      </c>
      <c r="E18" s="72">
        <v>140</v>
      </c>
      <c r="F18" s="15">
        <v>1</v>
      </c>
      <c r="G18" s="15" t="s">
        <v>125</v>
      </c>
      <c r="H18" s="15">
        <f>((F18*10000)/1000)*12</f>
        <v>120</v>
      </c>
      <c r="I18" s="73">
        <f t="shared" si="0"/>
        <v>260</v>
      </c>
      <c r="J18" s="74">
        <f>I18*'Riepilogo Importi'!$G$2</f>
        <v>5609.76</v>
      </c>
      <c r="K18"/>
      <c r="L18" s="16"/>
      <c r="N18" s="75"/>
    </row>
    <row r="19" spans="2:14" ht="21.75" customHeight="1" x14ac:dyDescent="0.25">
      <c r="B19" s="71" t="s">
        <v>141</v>
      </c>
      <c r="C19" s="15">
        <v>150</v>
      </c>
      <c r="D19" s="15" t="s">
        <v>67</v>
      </c>
      <c r="E19" s="72">
        <f>1.5*300</f>
        <v>450</v>
      </c>
      <c r="F19" s="15">
        <v>1</v>
      </c>
      <c r="G19" s="15" t="s">
        <v>125</v>
      </c>
      <c r="H19" s="15">
        <f>((F19*10000)/1000)*12</f>
        <v>120</v>
      </c>
      <c r="I19" s="73">
        <f t="shared" si="0"/>
        <v>570</v>
      </c>
      <c r="J19" s="74">
        <f>I19*'Riepilogo Importi'!$G$2</f>
        <v>12298.32</v>
      </c>
      <c r="K19"/>
      <c r="L19" s="16"/>
      <c r="N19" s="75"/>
    </row>
    <row r="20" spans="2:14" ht="21.75" customHeight="1" x14ac:dyDescent="0.25">
      <c r="B20" s="71" t="s">
        <v>142</v>
      </c>
      <c r="C20" s="15">
        <v>150</v>
      </c>
      <c r="D20" s="15" t="s">
        <v>143</v>
      </c>
      <c r="E20" s="72">
        <v>20</v>
      </c>
      <c r="F20" s="15">
        <v>1</v>
      </c>
      <c r="G20" s="15" t="s">
        <v>125</v>
      </c>
      <c r="H20" s="15">
        <v>60</v>
      </c>
      <c r="I20" s="73">
        <f t="shared" si="0"/>
        <v>80</v>
      </c>
      <c r="J20" s="74">
        <f>I20*'Riepilogo Importi'!$G$2</f>
        <v>1726.08</v>
      </c>
      <c r="K20"/>
      <c r="L20" s="16"/>
      <c r="N20" s="75"/>
    </row>
    <row r="21" spans="2:14" ht="21.75" customHeight="1" x14ac:dyDescent="0.25">
      <c r="B21" s="71" t="s">
        <v>144</v>
      </c>
      <c r="C21" s="15">
        <v>150</v>
      </c>
      <c r="D21" s="15" t="s">
        <v>67</v>
      </c>
      <c r="E21" s="72">
        <v>140</v>
      </c>
      <c r="F21" s="15">
        <v>1</v>
      </c>
      <c r="G21" s="15" t="s">
        <v>125</v>
      </c>
      <c r="H21" s="15">
        <f>((F21*10000)/1000)*12</f>
        <v>120</v>
      </c>
      <c r="I21" s="73">
        <f t="shared" si="0"/>
        <v>260</v>
      </c>
      <c r="J21" s="74">
        <f>I21*'Riepilogo Importi'!$G$2</f>
        <v>5609.76</v>
      </c>
      <c r="K21"/>
      <c r="L21" s="16"/>
      <c r="N21" s="75"/>
    </row>
    <row r="22" spans="2:14" ht="21.75" customHeight="1" x14ac:dyDescent="0.25">
      <c r="B22" s="71" t="s">
        <v>145</v>
      </c>
      <c r="C22" s="15">
        <v>150</v>
      </c>
      <c r="D22" s="15" t="s">
        <v>67</v>
      </c>
      <c r="E22" s="72">
        <v>300</v>
      </c>
      <c r="F22" s="15">
        <v>1</v>
      </c>
      <c r="G22" s="15" t="s">
        <v>125</v>
      </c>
      <c r="H22" s="15">
        <f>((F22*10000)/1000)*12</f>
        <v>120</v>
      </c>
      <c r="I22" s="73">
        <f t="shared" si="0"/>
        <v>420</v>
      </c>
      <c r="J22" s="74">
        <f>I22*'Riepilogo Importi'!$G$2</f>
        <v>9061.92</v>
      </c>
      <c r="K22"/>
      <c r="M22" s="75"/>
    </row>
    <row r="23" spans="2:14" ht="21.75" customHeight="1" x14ac:dyDescent="0.25">
      <c r="B23" s="71" t="s">
        <v>146</v>
      </c>
      <c r="C23" s="15">
        <v>150</v>
      </c>
      <c r="D23" s="15" t="s">
        <v>143</v>
      </c>
      <c r="E23" s="72">
        <f>0.5*52/2</f>
        <v>13</v>
      </c>
      <c r="F23" s="15">
        <v>1</v>
      </c>
      <c r="G23" s="15" t="s">
        <v>125</v>
      </c>
      <c r="H23" s="15">
        <v>60</v>
      </c>
      <c r="I23" s="73">
        <f t="shared" si="0"/>
        <v>73</v>
      </c>
      <c r="J23" s="74">
        <f>I23*'Riepilogo Importi'!$G$2</f>
        <v>1575.048</v>
      </c>
      <c r="K23"/>
      <c r="M23" s="75"/>
    </row>
    <row r="24" spans="2:14" ht="21.75" customHeight="1" x14ac:dyDescent="0.25">
      <c r="B24" s="71" t="s">
        <v>147</v>
      </c>
      <c r="C24" s="15">
        <v>150</v>
      </c>
      <c r="D24" s="15" t="s">
        <v>67</v>
      </c>
      <c r="E24" s="72">
        <v>300</v>
      </c>
      <c r="F24" s="15">
        <v>1</v>
      </c>
      <c r="G24" s="15" t="s">
        <v>125</v>
      </c>
      <c r="H24" s="15">
        <v>60</v>
      </c>
      <c r="I24" s="73">
        <f t="shared" si="0"/>
        <v>360</v>
      </c>
      <c r="J24" s="74">
        <f>I24*'Riepilogo Importi'!$G$2</f>
        <v>7767.3600000000006</v>
      </c>
      <c r="K24"/>
      <c r="L24" s="16"/>
      <c r="N24" s="75"/>
    </row>
    <row r="25" spans="2:14" ht="21.75" customHeight="1" x14ac:dyDescent="0.25">
      <c r="B25" s="71" t="s">
        <v>148</v>
      </c>
      <c r="C25" s="15">
        <v>150</v>
      </c>
      <c r="D25" s="15" t="s">
        <v>67</v>
      </c>
      <c r="E25" s="72">
        <v>300</v>
      </c>
      <c r="F25" s="15">
        <v>1</v>
      </c>
      <c r="G25" s="15" t="s">
        <v>125</v>
      </c>
      <c r="H25" s="15">
        <v>60</v>
      </c>
      <c r="I25" s="73">
        <f t="shared" si="0"/>
        <v>360</v>
      </c>
      <c r="J25" s="74">
        <f>I25*'Riepilogo Importi'!$G$2</f>
        <v>7767.3600000000006</v>
      </c>
      <c r="K25"/>
      <c r="L25" s="16"/>
      <c r="N25" s="75"/>
    </row>
    <row r="26" spans="2:14" ht="21.75" customHeight="1" x14ac:dyDescent="0.25">
      <c r="B26" s="71" t="s">
        <v>149</v>
      </c>
      <c r="C26" s="15">
        <v>150</v>
      </c>
      <c r="D26" s="15" t="s">
        <v>143</v>
      </c>
      <c r="E26" s="72">
        <f>0.5*24.3333333333333</f>
        <v>12.16666666666665</v>
      </c>
      <c r="F26" s="15">
        <v>1</v>
      </c>
      <c r="G26" s="15" t="s">
        <v>125</v>
      </c>
      <c r="H26" s="15">
        <v>60</v>
      </c>
      <c r="I26" s="73">
        <f t="shared" si="0"/>
        <v>72.166666666666657</v>
      </c>
      <c r="J26" s="74">
        <f>I26*'Riepilogo Importi'!$G$2</f>
        <v>1557.0679999999998</v>
      </c>
      <c r="K26"/>
      <c r="L26" s="16"/>
      <c r="N26" s="75"/>
    </row>
    <row r="27" spans="2:14" ht="21.75" customHeight="1" x14ac:dyDescent="0.25">
      <c r="B27" s="71" t="s">
        <v>150</v>
      </c>
      <c r="C27" s="15">
        <v>150</v>
      </c>
      <c r="D27" s="15" t="s">
        <v>151</v>
      </c>
      <c r="E27" s="72">
        <f>0.5*24.3333333333333</f>
        <v>12.16666666666665</v>
      </c>
      <c r="F27" s="15">
        <v>1</v>
      </c>
      <c r="G27" s="15" t="s">
        <v>125</v>
      </c>
      <c r="H27" s="15">
        <v>60</v>
      </c>
      <c r="I27" s="73">
        <f t="shared" si="0"/>
        <v>72.166666666666657</v>
      </c>
      <c r="J27" s="74">
        <f>I27*'Riepilogo Importi'!$G$2</f>
        <v>1557.0679999999998</v>
      </c>
      <c r="K27"/>
      <c r="L27" s="16"/>
      <c r="N27" s="75"/>
    </row>
    <row r="28" spans="2:14" ht="21.75" customHeight="1" x14ac:dyDescent="0.25">
      <c r="B28" s="76" t="s">
        <v>152</v>
      </c>
      <c r="C28" s="77">
        <v>150</v>
      </c>
      <c r="D28" s="77" t="s">
        <v>151</v>
      </c>
      <c r="E28" s="78">
        <v>12</v>
      </c>
      <c r="F28" s="77"/>
      <c r="G28" s="77"/>
      <c r="H28" s="77"/>
      <c r="I28" s="73">
        <f t="shared" si="0"/>
        <v>12</v>
      </c>
      <c r="J28" s="74">
        <f>I28*'Riepilogo Importi'!$G$2</f>
        <v>258.91200000000003</v>
      </c>
      <c r="K28"/>
      <c r="L28" s="16"/>
      <c r="N28" s="75"/>
    </row>
    <row r="29" spans="2:14" ht="21.75" customHeight="1" x14ac:dyDescent="0.25">
      <c r="B29" s="76" t="s">
        <v>153</v>
      </c>
      <c r="C29" s="77">
        <v>150</v>
      </c>
      <c r="D29" s="77" t="s">
        <v>151</v>
      </c>
      <c r="E29" s="78">
        <v>12</v>
      </c>
      <c r="F29" s="77"/>
      <c r="G29" s="77"/>
      <c r="H29" s="77"/>
      <c r="I29" s="73">
        <f t="shared" si="0"/>
        <v>12</v>
      </c>
      <c r="J29" s="74">
        <f>I29*'Riepilogo Importi'!$G$2</f>
        <v>258.91200000000003</v>
      </c>
      <c r="K29"/>
      <c r="L29" s="16"/>
      <c r="N29" s="75"/>
    </row>
    <row r="30" spans="2:14" ht="21.75" customHeight="1" x14ac:dyDescent="0.25">
      <c r="B30" s="76" t="s">
        <v>154</v>
      </c>
      <c r="C30" s="77">
        <v>150</v>
      </c>
      <c r="D30" s="77" t="s">
        <v>151</v>
      </c>
      <c r="E30" s="78">
        <v>12</v>
      </c>
      <c r="F30" s="77"/>
      <c r="G30" s="77"/>
      <c r="H30" s="77"/>
      <c r="I30" s="73">
        <f t="shared" si="0"/>
        <v>12</v>
      </c>
      <c r="J30" s="74">
        <f>I30*'Riepilogo Importi'!$G$2</f>
        <v>258.91200000000003</v>
      </c>
      <c r="K30"/>
      <c r="L30" s="16"/>
      <c r="N30" s="75"/>
    </row>
    <row r="31" spans="2:14" ht="21.75" customHeight="1" x14ac:dyDescent="0.25">
      <c r="B31" s="76" t="s">
        <v>223</v>
      </c>
      <c r="C31" s="77">
        <v>60</v>
      </c>
      <c r="D31" s="77" t="s">
        <v>155</v>
      </c>
      <c r="E31" s="78">
        <f>0.5*12*3</f>
        <v>18</v>
      </c>
      <c r="F31" s="77"/>
      <c r="G31" s="77"/>
      <c r="H31" s="77"/>
      <c r="I31" s="73">
        <f>+E31</f>
        <v>18</v>
      </c>
      <c r="J31" s="74">
        <f>I31*'Riepilogo Importi'!$G$2</f>
        <v>388.36799999999999</v>
      </c>
      <c r="K31"/>
      <c r="L31" s="16"/>
      <c r="N31" s="75"/>
    </row>
    <row r="32" spans="2:14" ht="21.75" customHeight="1" x14ac:dyDescent="0.25">
      <c r="B32" s="76" t="s">
        <v>222</v>
      </c>
      <c r="C32" s="77">
        <v>60</v>
      </c>
      <c r="D32" s="77" t="s">
        <v>155</v>
      </c>
      <c r="E32" s="78">
        <f>0.5*12*17</f>
        <v>102</v>
      </c>
      <c r="F32" s="77"/>
      <c r="G32" s="77"/>
      <c r="H32" s="77"/>
      <c r="I32" s="73">
        <f>+E32</f>
        <v>102</v>
      </c>
      <c r="J32" s="74">
        <f>I32*'Riepilogo Importi'!$G$2</f>
        <v>2200.752</v>
      </c>
      <c r="K32"/>
      <c r="L32" s="16"/>
      <c r="N32" s="75"/>
    </row>
    <row r="33" spans="2:14" ht="21.75" customHeight="1" thickBot="1" x14ac:dyDescent="0.3">
      <c r="B33" s="71" t="s">
        <v>157</v>
      </c>
      <c r="C33" s="15">
        <v>200</v>
      </c>
      <c r="D33" s="15" t="s">
        <v>67</v>
      </c>
      <c r="E33" s="72">
        <v>300</v>
      </c>
      <c r="F33" s="15">
        <v>1</v>
      </c>
      <c r="G33" s="15" t="s">
        <v>125</v>
      </c>
      <c r="H33" s="15">
        <v>120</v>
      </c>
      <c r="I33" s="73">
        <f t="shared" si="0"/>
        <v>420</v>
      </c>
      <c r="J33" s="74">
        <f>I33*'Riepilogo Importi'!$G$2</f>
        <v>9061.92</v>
      </c>
      <c r="L33" s="16"/>
      <c r="N33" s="75"/>
    </row>
    <row r="34" spans="2:14" ht="21.75" customHeight="1" thickBot="1" x14ac:dyDescent="0.3">
      <c r="B34" s="79" t="s">
        <v>59</v>
      </c>
      <c r="C34" s="80"/>
      <c r="D34" s="81"/>
      <c r="E34" s="81"/>
      <c r="F34" s="81"/>
      <c r="G34" s="81"/>
      <c r="H34" s="81"/>
      <c r="I34" s="82">
        <f>SUM(I7:I33)</f>
        <v>12083.333333333332</v>
      </c>
      <c r="J34" s="83">
        <f>SUM(J6:J33)</f>
        <v>299546.80000000005</v>
      </c>
      <c r="L34" s="84"/>
      <c r="N34" s="75"/>
    </row>
    <row r="35" spans="2:14" x14ac:dyDescent="0.25">
      <c r="N35" s="75"/>
    </row>
    <row r="36" spans="2:14" x14ac:dyDescent="0.25">
      <c r="N36" s="75"/>
    </row>
    <row r="37" spans="2:14" x14ac:dyDescent="0.25">
      <c r="B37" s="85"/>
    </row>
    <row r="38" spans="2:14" x14ac:dyDescent="0.25">
      <c r="B38" s="85"/>
    </row>
    <row r="39" spans="2:14" x14ac:dyDescent="0.25">
      <c r="B39" s="85"/>
    </row>
  </sheetData>
  <sheetProtection algorithmName="SHA-512" hashValue="WOsZrD3op6gnG7cSu5eBVx7aRgTXJQJpHRhMNn8kR+1O8ez7nsB3OOAK20Du4GhpZZCVF3Vo0VjQYX2mwScMHg==" saltValue="pla7fz//vtD3sLZXW9u6QA==" spinCount="100000" sheet="1" objects="1" scenarios="1"/>
  <autoFilter ref="B5:J30" xr:uid="{00000000-0009-0000-0000-000005000000}"/>
  <mergeCells count="3">
    <mergeCell ref="B3:J3"/>
    <mergeCell ref="B4:H4"/>
    <mergeCell ref="I4:J4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70" orientation="landscape" r:id="rId1"/>
  <headerFooter>
    <oddHeader>&amp;CAllegato 7 - Schede Tempi Operazioni</oddHeader>
  </headerFooter>
  <rowBreaks count="1" manualBreakCount="1">
    <brk id="31" min="1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0CC6C5-7330-4ED7-ACDE-CF3807746FE1}">
  <sheetPr>
    <pageSetUpPr fitToPage="1"/>
  </sheetPr>
  <dimension ref="A1:H13"/>
  <sheetViews>
    <sheetView zoomScaleNormal="100" workbookViewId="0">
      <selection activeCell="D27" sqref="D27"/>
    </sheetView>
  </sheetViews>
  <sheetFormatPr defaultColWidth="9.140625" defaultRowHeight="15" x14ac:dyDescent="0.25"/>
  <cols>
    <col min="1" max="1" width="11.5703125" customWidth="1"/>
    <col min="2" max="2" width="39.42578125" customWidth="1"/>
    <col min="3" max="4" width="25.7109375" customWidth="1"/>
  </cols>
  <sheetData>
    <row r="1" spans="1:8" s="66" customFormat="1" ht="16.5" thickBot="1" x14ac:dyDescent="0.3">
      <c r="B1" s="292" t="s">
        <v>158</v>
      </c>
      <c r="C1" s="293"/>
      <c r="D1" s="294"/>
      <c r="H1" s="75"/>
    </row>
    <row r="2" spans="1:8" s="66" customFormat="1" ht="15.75" thickBot="1" x14ac:dyDescent="0.3">
      <c r="H2" s="75"/>
    </row>
    <row r="3" spans="1:8" s="70" customFormat="1" ht="30.75" customHeight="1" x14ac:dyDescent="0.25">
      <c r="B3" s="117" t="s">
        <v>159</v>
      </c>
      <c r="C3" s="198" t="s">
        <v>122</v>
      </c>
      <c r="D3" s="60" t="s">
        <v>123</v>
      </c>
      <c r="G3" s="66"/>
      <c r="H3" s="75"/>
    </row>
    <row r="4" spans="1:8" s="66" customFormat="1" ht="30.75" customHeight="1" x14ac:dyDescent="0.25">
      <c r="A4" s="206" t="s">
        <v>160</v>
      </c>
      <c r="B4" s="15" t="s">
        <v>115</v>
      </c>
      <c r="C4" s="207">
        <v>190</v>
      </c>
      <c r="D4" s="208">
        <f>C4*'Riepilogo Importi'!$G$2</f>
        <v>4099.4400000000005</v>
      </c>
      <c r="E4" s="209"/>
      <c r="H4" s="75"/>
    </row>
    <row r="5" spans="1:8" s="66" customFormat="1" ht="30.75" customHeight="1" x14ac:dyDescent="0.25">
      <c r="A5" s="206" t="s">
        <v>160</v>
      </c>
      <c r="B5" s="15" t="s">
        <v>126</v>
      </c>
      <c r="C5" s="207">
        <v>190</v>
      </c>
      <c r="D5" s="208">
        <f>C5*'Riepilogo Importi'!$G$2</f>
        <v>4099.4400000000005</v>
      </c>
      <c r="H5" s="75"/>
    </row>
    <row r="6" spans="1:8" s="66" customFormat="1" ht="30.75" customHeight="1" x14ac:dyDescent="0.25">
      <c r="A6" s="206" t="s">
        <v>160</v>
      </c>
      <c r="B6" s="15" t="s">
        <v>161</v>
      </c>
      <c r="C6" s="207">
        <v>190</v>
      </c>
      <c r="D6" s="208">
        <f>C6*'Riepilogo Importi'!$G$2</f>
        <v>4099.4400000000005</v>
      </c>
      <c r="H6" s="75"/>
    </row>
    <row r="7" spans="1:8" s="66" customFormat="1" ht="30.75" customHeight="1" x14ac:dyDescent="0.25">
      <c r="A7" s="206" t="s">
        <v>160</v>
      </c>
      <c r="B7" s="15" t="s">
        <v>132</v>
      </c>
      <c r="C7" s="207">
        <v>190</v>
      </c>
      <c r="D7" s="208">
        <f>C7*'Riepilogo Importi'!$G$2</f>
        <v>4099.4400000000005</v>
      </c>
      <c r="H7" s="75"/>
    </row>
    <row r="8" spans="1:8" s="66" customFormat="1" ht="30.75" customHeight="1" x14ac:dyDescent="0.25">
      <c r="A8" s="206" t="s">
        <v>160</v>
      </c>
      <c r="B8" s="15" t="s">
        <v>136</v>
      </c>
      <c r="C8" s="207">
        <v>190</v>
      </c>
      <c r="D8" s="208">
        <f>C8*'Riepilogo Importi'!$G$2</f>
        <v>4099.4400000000005</v>
      </c>
      <c r="H8" s="75"/>
    </row>
    <row r="9" spans="1:8" s="66" customFormat="1" ht="30.75" customHeight="1" x14ac:dyDescent="0.25">
      <c r="A9" s="206" t="s">
        <v>160</v>
      </c>
      <c r="B9" s="15" t="s">
        <v>162</v>
      </c>
      <c r="C9" s="207">
        <v>190</v>
      </c>
      <c r="D9" s="208">
        <f>C9*'Riepilogo Importi'!$G$2</f>
        <v>4099.4400000000005</v>
      </c>
      <c r="H9" s="75"/>
    </row>
    <row r="10" spans="1:8" s="66" customFormat="1" ht="30.75" customHeight="1" x14ac:dyDescent="0.25">
      <c r="A10" s="206" t="s">
        <v>160</v>
      </c>
      <c r="B10" s="15" t="s">
        <v>137</v>
      </c>
      <c r="C10" s="207">
        <v>190</v>
      </c>
      <c r="D10" s="208">
        <f>C10*'Riepilogo Importi'!$G$2</f>
        <v>4099.4400000000005</v>
      </c>
      <c r="H10" s="75"/>
    </row>
    <row r="11" spans="1:8" s="66" customFormat="1" ht="30.75" customHeight="1" x14ac:dyDescent="0.25">
      <c r="A11" s="206" t="s">
        <v>160</v>
      </c>
      <c r="B11" s="15" t="s">
        <v>163</v>
      </c>
      <c r="C11" s="207">
        <v>190</v>
      </c>
      <c r="D11" s="208">
        <f>C11*'Riepilogo Importi'!$G$2</f>
        <v>4099.4400000000005</v>
      </c>
      <c r="H11" s="75"/>
    </row>
    <row r="12" spans="1:8" s="66" customFormat="1" ht="30.75" customHeight="1" x14ac:dyDescent="0.25">
      <c r="A12" s="206" t="s">
        <v>160</v>
      </c>
      <c r="B12" s="15" t="s">
        <v>140</v>
      </c>
      <c r="C12" s="207">
        <v>190</v>
      </c>
      <c r="D12" s="208">
        <f>C12*'Riepilogo Importi'!$G$2</f>
        <v>4099.4400000000005</v>
      </c>
      <c r="H12" s="75"/>
    </row>
    <row r="13" spans="1:8" s="66" customFormat="1" ht="30.75" customHeight="1" x14ac:dyDescent="0.25">
      <c r="B13" s="210" t="s">
        <v>59</v>
      </c>
      <c r="C13" s="211">
        <f>SUM(C4:C12)</f>
        <v>1710</v>
      </c>
      <c r="D13" s="212">
        <f>C13*'Servizio Ferroviario'!$C$1</f>
        <v>36894.959999999999</v>
      </c>
    </row>
  </sheetData>
  <sheetProtection algorithmName="SHA-512" hashValue="3IrERohqUwzI9cO7t52lYygk0YRQGv+A+zVfqMeZaxDIP0Pk4d5306pjkYvQ3PIDFneZBDjUPo958mHXLgC3LQ==" saltValue="hFypWOvyvUe1YFeTdsNsXA==" spinCount="100000" sheet="1" objects="1" scenarios="1"/>
  <mergeCells count="1">
    <mergeCell ref="B1:D1"/>
  </mergeCells>
  <printOptions horizontalCentered="1"/>
  <pageMargins left="0.11811023622047245" right="0.11811023622047245" top="0.74803149606299213" bottom="0.74803149606299213" header="0.31496062992125984" footer="0.31496062992125984"/>
  <pageSetup paperSize="9" orientation="landscape" r:id="rId1"/>
  <headerFooter>
    <oddHeader>&amp;CAllegato 7 - Schede Tempi Operazioni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8</vt:i4>
      </vt:variant>
    </vt:vector>
  </HeadingPairs>
  <TitlesOfParts>
    <vt:vector size="17" baseType="lpstr">
      <vt:lpstr>Riepilogo Importi</vt:lpstr>
      <vt:lpstr>Centri di Costo</vt:lpstr>
      <vt:lpstr>Elenco per Centri di Costo</vt:lpstr>
      <vt:lpstr>Impianti Fissi</vt:lpstr>
      <vt:lpstr>Uffici Direzionali</vt:lpstr>
      <vt:lpstr>Servizio Ferroviario</vt:lpstr>
      <vt:lpstr>Servizio automobilistico</vt:lpstr>
      <vt:lpstr>Stazioni Varie</vt:lpstr>
      <vt:lpstr>Apertura e Chiusura Stazioni</vt:lpstr>
      <vt:lpstr>'Apertura e Chiusura Stazioni'!Area_stampa</vt:lpstr>
      <vt:lpstr>'Elenco per Centri di Costo'!Area_stampa</vt:lpstr>
      <vt:lpstr>'Riepilogo Importi'!Area_stampa</vt:lpstr>
      <vt:lpstr>'Servizio automobilistico'!Area_stampa</vt:lpstr>
      <vt:lpstr>'Servizio Ferroviario'!Area_stampa</vt:lpstr>
      <vt:lpstr>'Stazioni Varie'!Area_stampa</vt:lpstr>
      <vt:lpstr>'Uffici Direzionali'!Area_stampa</vt:lpstr>
      <vt:lpstr>'Elenco per Centri di Costo'!Titoli_stampa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Corrado  Mezzina</dc:creator>
  <cp:keywords/>
  <dc:description/>
  <cp:lastModifiedBy>Gianluca Traversa</cp:lastModifiedBy>
  <cp:revision/>
  <cp:lastPrinted>2024-08-02T10:15:42Z</cp:lastPrinted>
  <dcterms:created xsi:type="dcterms:W3CDTF">2024-04-18T14:30:45Z</dcterms:created>
  <dcterms:modified xsi:type="dcterms:W3CDTF">2024-09-19T08:57:49Z</dcterms:modified>
  <cp:category/>
  <cp:contentStatus/>
</cp:coreProperties>
</file>